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3365\Desktop\"/>
    </mc:Choice>
  </mc:AlternateContent>
  <xr:revisionPtr revIDLastSave="0" documentId="8_{E8557F37-AF2C-4FFC-B0AE-D60D3646CD96}" xr6:coauthVersionLast="47" xr6:coauthVersionMax="47" xr10:uidLastSave="{00000000-0000-0000-0000-000000000000}"/>
  <bookViews>
    <workbookView xWindow="-108" yWindow="-108" windowWidth="23256" windowHeight="12576" activeTab="7" xr2:uid="{C52B4F1F-8D61-4A70-9FB0-295BFF3C1109}"/>
  </bookViews>
  <sheets>
    <sheet name="Actual EEC revenues  rate class" sheetId="2" r:id="rId1"/>
    <sheet name="Monthly Revenue Req." sheetId="1" r:id="rId2"/>
    <sheet name="Reconciliation" sheetId="3" r:id="rId3"/>
    <sheet name="Projected Rev. Req" sheetId="8" r:id="rId4"/>
    <sheet name="Rate Calculation" sheetId="4" r:id="rId5"/>
    <sheet name="Journal Entries" sheetId="5" r:id="rId6"/>
    <sheet name="Rate Impacts" sheetId="6" r:id="rId7"/>
    <sheet name="kwh forecast" sheetId="7" r:id="rId8"/>
  </sheets>
  <externalReferences>
    <externalReference r:id="rId9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4" l="1"/>
  <c r="C19" i="4" s="1"/>
  <c r="C21" i="4" l="1"/>
  <c r="I31" i="5" l="1"/>
  <c r="J31" i="5"/>
  <c r="K31" i="5"/>
  <c r="L31" i="5"/>
  <c r="M31" i="5"/>
  <c r="H31" i="5"/>
  <c r="M30" i="5"/>
  <c r="L30" i="5"/>
  <c r="K30" i="5"/>
  <c r="J30" i="5"/>
  <c r="I30" i="5"/>
  <c r="H30" i="5"/>
  <c r="I27" i="5"/>
  <c r="J27" i="5"/>
  <c r="K27" i="5"/>
  <c r="L27" i="5"/>
  <c r="M27" i="5"/>
  <c r="H27" i="5"/>
  <c r="M26" i="5"/>
  <c r="L26" i="5"/>
  <c r="K26" i="5"/>
  <c r="J26" i="5"/>
  <c r="I26" i="5"/>
  <c r="H26" i="5"/>
  <c r="I23" i="5"/>
  <c r="J23" i="5"/>
  <c r="K23" i="5"/>
  <c r="L23" i="5"/>
  <c r="M23" i="5"/>
  <c r="H23" i="5"/>
  <c r="M22" i="5"/>
  <c r="L22" i="5"/>
  <c r="K22" i="5"/>
  <c r="J22" i="5"/>
  <c r="I22" i="5"/>
  <c r="H22" i="5"/>
  <c r="I19" i="5"/>
  <c r="J19" i="5"/>
  <c r="K19" i="5"/>
  <c r="L19" i="5"/>
  <c r="M19" i="5"/>
  <c r="H19" i="5"/>
  <c r="M18" i="5"/>
  <c r="L18" i="5"/>
  <c r="K18" i="5"/>
  <c r="J18" i="5"/>
  <c r="I18" i="5"/>
  <c r="H18" i="5"/>
  <c r="L13" i="5"/>
  <c r="K13" i="5"/>
  <c r="J13" i="5"/>
  <c r="I13" i="5"/>
  <c r="H13" i="5"/>
  <c r="N10" i="5"/>
  <c r="I10" i="5"/>
  <c r="J10" i="5"/>
  <c r="K10" i="5"/>
  <c r="L10" i="5"/>
  <c r="M10" i="5"/>
  <c r="N9" i="5"/>
  <c r="M9" i="5"/>
  <c r="L9" i="5"/>
  <c r="K9" i="5"/>
  <c r="J9" i="5"/>
  <c r="H10" i="5"/>
  <c r="I9" i="5"/>
  <c r="H9" i="5"/>
  <c r="H223" i="7" l="1"/>
  <c r="Q25" i="8" l="1"/>
  <c r="C13" i="4" s="1"/>
  <c r="H16" i="8"/>
  <c r="L16" i="8" s="1"/>
  <c r="H20" i="8"/>
  <c r="L20" i="8" s="1"/>
  <c r="H24" i="8"/>
  <c r="L24" i="8" s="1"/>
  <c r="B25" i="8"/>
  <c r="E14" i="8"/>
  <c r="H14" i="8" s="1"/>
  <c r="L14" i="8" s="1"/>
  <c r="E15" i="8"/>
  <c r="H15" i="8" s="1"/>
  <c r="L15" i="8" s="1"/>
  <c r="E16" i="8"/>
  <c r="E17" i="8"/>
  <c r="H17" i="8" s="1"/>
  <c r="L17" i="8" s="1"/>
  <c r="E18" i="8"/>
  <c r="H18" i="8" s="1"/>
  <c r="L18" i="8" s="1"/>
  <c r="E19" i="8"/>
  <c r="H19" i="8" s="1"/>
  <c r="L19" i="8" s="1"/>
  <c r="E20" i="8"/>
  <c r="E21" i="8"/>
  <c r="H21" i="8" s="1"/>
  <c r="L21" i="8" s="1"/>
  <c r="E22" i="8"/>
  <c r="H22" i="8" s="1"/>
  <c r="L22" i="8" s="1"/>
  <c r="E23" i="8"/>
  <c r="H23" i="8" s="1"/>
  <c r="L23" i="8" s="1"/>
  <c r="E24" i="8"/>
  <c r="E13" i="8"/>
  <c r="H13" i="8" s="1"/>
  <c r="D22" i="3"/>
  <c r="B35" i="3" s="1"/>
  <c r="D23" i="3"/>
  <c r="B36" i="3" s="1"/>
  <c r="D24" i="3"/>
  <c r="B37" i="3" s="1"/>
  <c r="D25" i="3"/>
  <c r="B38" i="3" s="1"/>
  <c r="D26" i="3"/>
  <c r="B39" i="3" s="1"/>
  <c r="D21" i="3"/>
  <c r="B34" i="3" s="1"/>
  <c r="B27" i="3"/>
  <c r="G70" i="1"/>
  <c r="G71" i="1"/>
  <c r="G72" i="1"/>
  <c r="G73" i="1"/>
  <c r="G74" i="1"/>
  <c r="G75" i="1"/>
  <c r="G76" i="1"/>
  <c r="G77" i="1"/>
  <c r="G78" i="1"/>
  <c r="G79" i="1"/>
  <c r="G80" i="1"/>
  <c r="G69" i="1"/>
  <c r="F69" i="1"/>
  <c r="F70" i="1"/>
  <c r="F71" i="1"/>
  <c r="F72" i="1"/>
  <c r="F73" i="1"/>
  <c r="F74" i="1"/>
  <c r="F75" i="1"/>
  <c r="F76" i="1"/>
  <c r="F77" i="1"/>
  <c r="F78" i="1"/>
  <c r="F79" i="1"/>
  <c r="F68" i="1"/>
  <c r="E78" i="1"/>
  <c r="E68" i="1"/>
  <c r="E69" i="1"/>
  <c r="E70" i="1"/>
  <c r="E71" i="1"/>
  <c r="E72" i="1"/>
  <c r="E73" i="1"/>
  <c r="E74" i="1"/>
  <c r="E75" i="1"/>
  <c r="E76" i="1"/>
  <c r="E77" i="1"/>
  <c r="E67" i="1"/>
  <c r="D67" i="1"/>
  <c r="D68" i="1"/>
  <c r="D69" i="1"/>
  <c r="D70" i="1"/>
  <c r="D71" i="1"/>
  <c r="D72" i="1"/>
  <c r="D73" i="1"/>
  <c r="D74" i="1"/>
  <c r="D75" i="1"/>
  <c r="D76" i="1"/>
  <c r="D77" i="1"/>
  <c r="D66" i="1"/>
  <c r="C66" i="1"/>
  <c r="C67" i="1"/>
  <c r="C68" i="1"/>
  <c r="C69" i="1"/>
  <c r="C70" i="1"/>
  <c r="C71" i="1"/>
  <c r="C72" i="1"/>
  <c r="C73" i="1"/>
  <c r="C74" i="1"/>
  <c r="C75" i="1"/>
  <c r="C76" i="1"/>
  <c r="C65" i="1"/>
  <c r="B65" i="1"/>
  <c r="B66" i="1"/>
  <c r="B67" i="1"/>
  <c r="B68" i="1"/>
  <c r="B69" i="1"/>
  <c r="B70" i="1"/>
  <c r="B71" i="1"/>
  <c r="B72" i="1"/>
  <c r="B73" i="1"/>
  <c r="B74" i="1"/>
  <c r="B75" i="1"/>
  <c r="B64" i="1"/>
  <c r="O62" i="1"/>
  <c r="O83" i="1" s="1"/>
  <c r="P62" i="1"/>
  <c r="P86" i="1" s="1"/>
  <c r="Q62" i="1"/>
  <c r="Q80" i="1" s="1"/>
  <c r="R62" i="1"/>
  <c r="R87" i="1" s="1"/>
  <c r="S62" i="1"/>
  <c r="T62" i="1"/>
  <c r="U62" i="1"/>
  <c r="U86" i="1" s="1"/>
  <c r="V62" i="1"/>
  <c r="V87" i="1" s="1"/>
  <c r="W62" i="1"/>
  <c r="X62" i="1"/>
  <c r="Y62" i="1"/>
  <c r="Y87" i="1" s="1"/>
  <c r="Y88" i="1" s="1"/>
  <c r="N62" i="1"/>
  <c r="N79" i="1" s="1"/>
  <c r="I62" i="1"/>
  <c r="I80" i="1" s="1"/>
  <c r="J62" i="1"/>
  <c r="J73" i="1" s="1"/>
  <c r="K62" i="1"/>
  <c r="K76" i="1" s="1"/>
  <c r="L62" i="1"/>
  <c r="L77" i="1" s="1"/>
  <c r="M62" i="1"/>
  <c r="H62" i="1"/>
  <c r="E30" i="1" s="1"/>
  <c r="H30" i="1" s="1"/>
  <c r="L13" i="8" l="1"/>
  <c r="H25" i="8"/>
  <c r="E25" i="8"/>
  <c r="Z66" i="1"/>
  <c r="D89" i="1" s="1"/>
  <c r="I72" i="1"/>
  <c r="Q79" i="1"/>
  <c r="K80" i="1"/>
  <c r="D88" i="1"/>
  <c r="N87" i="1"/>
  <c r="L30" i="1"/>
  <c r="X87" i="1"/>
  <c r="X86" i="1"/>
  <c r="H75" i="1"/>
  <c r="M79" i="1"/>
  <c r="M83" i="1"/>
  <c r="M75" i="1"/>
  <c r="M76" i="1"/>
  <c r="M80" i="1"/>
  <c r="M84" i="1"/>
  <c r="E35" i="1"/>
  <c r="M77" i="1"/>
  <c r="M81" i="1"/>
  <c r="M85" i="1"/>
  <c r="I75" i="1"/>
  <c r="I79" i="1"/>
  <c r="I71" i="1"/>
  <c r="E31" i="1"/>
  <c r="H31" i="1" s="1"/>
  <c r="I73" i="1"/>
  <c r="I77" i="1"/>
  <c r="I81" i="1"/>
  <c r="W85" i="1"/>
  <c r="W86" i="1"/>
  <c r="S82" i="1"/>
  <c r="S86" i="1"/>
  <c r="S83" i="1"/>
  <c r="S87" i="1"/>
  <c r="S84" i="1"/>
  <c r="S81" i="1"/>
  <c r="O80" i="1"/>
  <c r="O84" i="1"/>
  <c r="O77" i="1"/>
  <c r="O81" i="1"/>
  <c r="O85" i="1"/>
  <c r="O78" i="1"/>
  <c r="O82" i="1"/>
  <c r="O86" i="1"/>
  <c r="Z69" i="1"/>
  <c r="G89" i="1" s="1"/>
  <c r="Z65" i="1"/>
  <c r="C89" i="1" s="1"/>
  <c r="H79" i="1"/>
  <c r="H73" i="1"/>
  <c r="I78" i="1"/>
  <c r="J83" i="1"/>
  <c r="J75" i="1"/>
  <c r="M86" i="1"/>
  <c r="N83" i="1"/>
  <c r="O79" i="1"/>
  <c r="Q84" i="1"/>
  <c r="S85" i="1"/>
  <c r="H74" i="1"/>
  <c r="Z62" i="1"/>
  <c r="H72" i="1"/>
  <c r="H76" i="1"/>
  <c r="T85" i="1"/>
  <c r="T86" i="1"/>
  <c r="T83" i="1"/>
  <c r="T87" i="1"/>
  <c r="L78" i="1"/>
  <c r="L82" i="1"/>
  <c r="L74" i="1"/>
  <c r="L75" i="1"/>
  <c r="L79" i="1"/>
  <c r="L83" i="1"/>
  <c r="L76" i="1"/>
  <c r="L80" i="1"/>
  <c r="L84" i="1"/>
  <c r="V84" i="1"/>
  <c r="V85" i="1"/>
  <c r="V86" i="1"/>
  <c r="B88" i="1"/>
  <c r="Z64" i="1"/>
  <c r="Z68" i="1"/>
  <c r="F89" i="1" s="1"/>
  <c r="C88" i="1"/>
  <c r="E88" i="1"/>
  <c r="F88" i="1"/>
  <c r="G88" i="1"/>
  <c r="H70" i="1"/>
  <c r="H78" i="1"/>
  <c r="H71" i="1"/>
  <c r="I76" i="1"/>
  <c r="J81" i="1"/>
  <c r="L85" i="1"/>
  <c r="M82" i="1"/>
  <c r="T82" i="1"/>
  <c r="W87" i="1"/>
  <c r="E34" i="1"/>
  <c r="J76" i="1"/>
  <c r="J80" i="1"/>
  <c r="J72" i="1"/>
  <c r="E32" i="1"/>
  <c r="J74" i="1"/>
  <c r="J78" i="1"/>
  <c r="J82" i="1"/>
  <c r="P79" i="1"/>
  <c r="P83" i="1"/>
  <c r="P87" i="1"/>
  <c r="P80" i="1"/>
  <c r="P84" i="1"/>
  <c r="P78" i="1"/>
  <c r="P81" i="1"/>
  <c r="P85" i="1"/>
  <c r="H80" i="1"/>
  <c r="J77" i="1"/>
  <c r="N80" i="1"/>
  <c r="N84" i="1"/>
  <c r="N76" i="1"/>
  <c r="N77" i="1"/>
  <c r="N81" i="1"/>
  <c r="N85" i="1"/>
  <c r="N78" i="1"/>
  <c r="N82" i="1"/>
  <c r="N86" i="1"/>
  <c r="R81" i="1"/>
  <c r="R85" i="1"/>
  <c r="R82" i="1"/>
  <c r="R86" i="1"/>
  <c r="R83" i="1"/>
  <c r="R80" i="1"/>
  <c r="E33" i="1"/>
  <c r="K77" i="1"/>
  <c r="K81" i="1"/>
  <c r="K73" i="1"/>
  <c r="K74" i="1"/>
  <c r="K78" i="1"/>
  <c r="K82" i="1"/>
  <c r="K75" i="1"/>
  <c r="K79" i="1"/>
  <c r="K83" i="1"/>
  <c r="U87" i="1"/>
  <c r="U84" i="1"/>
  <c r="U83" i="1"/>
  <c r="U85" i="1"/>
  <c r="Q81" i="1"/>
  <c r="Q85" i="1"/>
  <c r="Q82" i="1"/>
  <c r="Q86" i="1"/>
  <c r="Q83" i="1"/>
  <c r="Q87" i="1"/>
  <c r="Z67" i="1"/>
  <c r="E89" i="1" s="1"/>
  <c r="H81" i="1"/>
  <c r="H77" i="1"/>
  <c r="I82" i="1"/>
  <c r="I74" i="1"/>
  <c r="J79" i="1"/>
  <c r="K84" i="1"/>
  <c r="L81" i="1"/>
  <c r="M78" i="1"/>
  <c r="O87" i="1"/>
  <c r="P82" i="1"/>
  <c r="R84" i="1"/>
  <c r="T84" i="1"/>
  <c r="B40" i="3"/>
  <c r="D27" i="3"/>
  <c r="Z79" i="1" l="1"/>
  <c r="Q89" i="1" s="1"/>
  <c r="L25" i="8"/>
  <c r="Z72" i="1"/>
  <c r="Z76" i="1"/>
  <c r="Z71" i="1"/>
  <c r="G31" i="1" s="1"/>
  <c r="X88" i="1"/>
  <c r="Z73" i="1"/>
  <c r="K89" i="1" s="1"/>
  <c r="Z74" i="1"/>
  <c r="G34" i="1" s="1"/>
  <c r="Z87" i="1"/>
  <c r="Z75" i="1"/>
  <c r="M89" i="1" s="1"/>
  <c r="M88" i="1"/>
  <c r="Z82" i="1"/>
  <c r="Q88" i="1"/>
  <c r="Z80" i="1"/>
  <c r="Z78" i="1"/>
  <c r="Z77" i="1"/>
  <c r="Z85" i="1"/>
  <c r="Z84" i="1"/>
  <c r="U88" i="1"/>
  <c r="H33" i="1"/>
  <c r="L33" i="1" s="1"/>
  <c r="J88" i="1"/>
  <c r="H88" i="1"/>
  <c r="Z86" i="1"/>
  <c r="W88" i="1"/>
  <c r="L31" i="1"/>
  <c r="Z70" i="1"/>
  <c r="H35" i="1"/>
  <c r="L35" i="1" s="1"/>
  <c r="Z81" i="1"/>
  <c r="K88" i="1"/>
  <c r="G32" i="1"/>
  <c r="J89" i="1"/>
  <c r="T88" i="1"/>
  <c r="L88" i="1"/>
  <c r="S88" i="1"/>
  <c r="I88" i="1"/>
  <c r="I89" i="1"/>
  <c r="H32" i="1"/>
  <c r="H34" i="1"/>
  <c r="L34" i="1" s="1"/>
  <c r="R88" i="1"/>
  <c r="N88" i="1"/>
  <c r="P88" i="1"/>
  <c r="B89" i="1"/>
  <c r="V88" i="1"/>
  <c r="Z83" i="1"/>
  <c r="O88" i="1"/>
  <c r="G16" i="8" l="1"/>
  <c r="T89" i="1"/>
  <c r="G19" i="8"/>
  <c r="W89" i="1"/>
  <c r="G22" i="8"/>
  <c r="P89" i="1"/>
  <c r="G15" i="8"/>
  <c r="O89" i="1"/>
  <c r="G14" i="8"/>
  <c r="N89" i="1"/>
  <c r="G13" i="8"/>
  <c r="U89" i="1"/>
  <c r="G20" i="8"/>
  <c r="S89" i="1"/>
  <c r="G18" i="8"/>
  <c r="L89" i="1"/>
  <c r="R89" i="1"/>
  <c r="G17" i="8"/>
  <c r="V89" i="1"/>
  <c r="G21" i="8"/>
  <c r="X89" i="1"/>
  <c r="G23" i="8"/>
  <c r="Y89" i="1"/>
  <c r="G24" i="8"/>
  <c r="G35" i="1"/>
  <c r="G33" i="1"/>
  <c r="Z88" i="1"/>
  <c r="AA88" i="1"/>
  <c r="H89" i="1"/>
  <c r="G30" i="1"/>
  <c r="L32" i="1"/>
  <c r="Z89" i="1" l="1"/>
  <c r="G25" i="8"/>
  <c r="N31" i="5" l="1"/>
  <c r="N30" i="5"/>
  <c r="N27" i="5"/>
  <c r="N26" i="5"/>
  <c r="N23" i="5"/>
  <c r="N22" i="5"/>
  <c r="N19" i="5"/>
  <c r="N18" i="5"/>
  <c r="I15" i="5"/>
  <c r="J15" i="5"/>
  <c r="K15" i="5"/>
  <c r="L15" i="5"/>
  <c r="H15" i="5"/>
  <c r="B6" i="5" l="1"/>
  <c r="A21" i="4"/>
  <c r="A19" i="4"/>
  <c r="A20" i="4" s="1"/>
  <c r="A18" i="4"/>
  <c r="A17" i="4"/>
  <c r="A16" i="4"/>
  <c r="A13" i="4"/>
  <c r="A14" i="4" s="1"/>
  <c r="A12" i="4"/>
  <c r="B10" i="3" l="1"/>
  <c r="B11" i="3"/>
  <c r="B12" i="3"/>
  <c r="B13" i="3"/>
  <c r="B9" i="3"/>
  <c r="C16" i="2" l="1"/>
  <c r="D16" i="2"/>
  <c r="E16" i="2"/>
  <c r="F11" i="2"/>
  <c r="F12" i="2"/>
  <c r="F13" i="2"/>
  <c r="F14" i="2"/>
  <c r="F15" i="2"/>
  <c r="B14" i="3" s="1"/>
  <c r="B15" i="3" s="1"/>
  <c r="F10" i="2"/>
  <c r="B16" i="2" l="1"/>
  <c r="F16" i="2" s="1"/>
  <c r="Q21" i="1" l="1"/>
  <c r="Q37" i="1" s="1"/>
  <c r="H15" i="1" l="1"/>
  <c r="H16" i="1"/>
  <c r="H17" i="1"/>
  <c r="H18" i="1"/>
  <c r="H19" i="1"/>
  <c r="H14" i="1"/>
  <c r="I14" i="1" s="1"/>
  <c r="F14" i="1"/>
  <c r="F15" i="1" s="1"/>
  <c r="F16" i="1" s="1"/>
  <c r="F17" i="1" s="1"/>
  <c r="F18" i="1" s="1"/>
  <c r="F19" i="1" s="1"/>
  <c r="E21" i="1"/>
  <c r="E37" i="1" s="1"/>
  <c r="C14" i="1"/>
  <c r="D14" i="1" s="1"/>
  <c r="B21" i="1"/>
  <c r="B37" i="1" s="1"/>
  <c r="G19" i="1" l="1"/>
  <c r="F30" i="1"/>
  <c r="F31" i="1" s="1"/>
  <c r="F32" i="1" s="1"/>
  <c r="F33" i="1" s="1"/>
  <c r="F34" i="1" s="1"/>
  <c r="F35" i="1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I15" i="1"/>
  <c r="L17" i="1"/>
  <c r="L16" i="1"/>
  <c r="C15" i="1"/>
  <c r="C16" i="1" s="1"/>
  <c r="C17" i="1" s="1"/>
  <c r="C18" i="1" s="1"/>
  <c r="D18" i="1" s="1"/>
  <c r="L19" i="1"/>
  <c r="L15" i="1"/>
  <c r="L18" i="1"/>
  <c r="H21" i="1"/>
  <c r="H37" i="1" s="1"/>
  <c r="L14" i="1"/>
  <c r="G18" i="1"/>
  <c r="G17" i="1"/>
  <c r="G15" i="1"/>
  <c r="G16" i="1"/>
  <c r="G14" i="1"/>
  <c r="J14" i="1" s="1"/>
  <c r="K14" i="1" s="1"/>
  <c r="D17" i="1" l="1"/>
  <c r="D15" i="1"/>
  <c r="J15" i="1" s="1"/>
  <c r="K15" i="1" s="1"/>
  <c r="I16" i="1"/>
  <c r="C19" i="1"/>
  <c r="G21" i="1"/>
  <c r="G37" i="1" s="1"/>
  <c r="D16" i="1"/>
  <c r="J16" i="1" s="1"/>
  <c r="M16" i="1" s="1"/>
  <c r="J18" i="1"/>
  <c r="M18" i="1" s="1"/>
  <c r="L21" i="1"/>
  <c r="L37" i="1" s="1"/>
  <c r="M14" i="1"/>
  <c r="J17" i="1"/>
  <c r="M17" i="1" s="1"/>
  <c r="N14" i="1" l="1"/>
  <c r="O14" i="1" s="1"/>
  <c r="P14" i="1" s="1"/>
  <c r="R14" i="1" s="1"/>
  <c r="C9" i="3" s="1"/>
  <c r="E9" i="3" s="1"/>
  <c r="F9" i="3" s="1"/>
  <c r="D19" i="1"/>
  <c r="J19" i="1" s="1"/>
  <c r="M19" i="1" s="1"/>
  <c r="C30" i="1"/>
  <c r="I17" i="1"/>
  <c r="K16" i="1"/>
  <c r="M15" i="1"/>
  <c r="N15" i="1" s="1"/>
  <c r="O15" i="1" s="1"/>
  <c r="P15" i="1" s="1"/>
  <c r="R15" i="1" s="1"/>
  <c r="C10" i="3" s="1"/>
  <c r="E10" i="3" s="1"/>
  <c r="D21" i="1" l="1"/>
  <c r="J21" i="1"/>
  <c r="C31" i="1"/>
  <c r="D30" i="1"/>
  <c r="J30" i="1" s="1"/>
  <c r="M30" i="1" s="1"/>
  <c r="M21" i="1"/>
  <c r="G9" i="3"/>
  <c r="I9" i="3" s="1"/>
  <c r="J9" i="3" s="1"/>
  <c r="L9" i="3" s="1"/>
  <c r="D10" i="3"/>
  <c r="F10" i="3" s="1"/>
  <c r="I18" i="1"/>
  <c r="N16" i="1"/>
  <c r="K17" i="1"/>
  <c r="M9" i="3" l="1"/>
  <c r="D11" i="3"/>
  <c r="G10" i="3"/>
  <c r="I10" i="3" s="1"/>
  <c r="J10" i="3" s="1"/>
  <c r="L10" i="3" s="1"/>
  <c r="C32" i="1"/>
  <c r="D31" i="1"/>
  <c r="N17" i="1"/>
  <c r="N18" i="1" s="1"/>
  <c r="N19" i="1" s="1"/>
  <c r="N30" i="1" s="1"/>
  <c r="O16" i="1"/>
  <c r="P16" i="1" s="1"/>
  <c r="R16" i="1" s="1"/>
  <c r="C11" i="3" s="1"/>
  <c r="E11" i="3" s="1"/>
  <c r="I19" i="1"/>
  <c r="I30" i="1" s="1"/>
  <c r="K18" i="1"/>
  <c r="F11" i="3" l="1"/>
  <c r="D12" i="3" s="1"/>
  <c r="O18" i="1"/>
  <c r="P18" i="1" s="1"/>
  <c r="R18" i="1" s="1"/>
  <c r="C13" i="3" s="1"/>
  <c r="E13" i="3" s="1"/>
  <c r="I31" i="1"/>
  <c r="J31" i="1"/>
  <c r="C33" i="1"/>
  <c r="D32" i="1"/>
  <c r="J32" i="1" s="1"/>
  <c r="M32" i="1" s="1"/>
  <c r="M10" i="3"/>
  <c r="O17" i="1"/>
  <c r="P17" i="1" s="1"/>
  <c r="R17" i="1" s="1"/>
  <c r="C12" i="3" s="1"/>
  <c r="E12" i="3" s="1"/>
  <c r="K19" i="1"/>
  <c r="G11" i="3" l="1"/>
  <c r="I11" i="3" s="1"/>
  <c r="J11" i="3" s="1"/>
  <c r="L11" i="3" s="1"/>
  <c r="M11" i="3" s="1"/>
  <c r="M31" i="1"/>
  <c r="F12" i="3"/>
  <c r="O19" i="1"/>
  <c r="P19" i="1" s="1"/>
  <c r="P21" i="1" s="1"/>
  <c r="K30" i="1"/>
  <c r="C34" i="1"/>
  <c r="D33" i="1"/>
  <c r="I32" i="1"/>
  <c r="R19" i="1" l="1"/>
  <c r="C35" i="1"/>
  <c r="D34" i="1"/>
  <c r="J34" i="1" s="1"/>
  <c r="M34" i="1" s="1"/>
  <c r="K31" i="1"/>
  <c r="O30" i="1"/>
  <c r="P30" i="1" s="1"/>
  <c r="R30" i="1" s="1"/>
  <c r="C34" i="3" s="1"/>
  <c r="I33" i="1"/>
  <c r="J33" i="1"/>
  <c r="G12" i="3"/>
  <c r="I12" i="3" s="1"/>
  <c r="J12" i="3" s="1"/>
  <c r="L12" i="3" s="1"/>
  <c r="D13" i="3"/>
  <c r="F13" i="3" s="1"/>
  <c r="N31" i="1"/>
  <c r="N32" i="1" s="1"/>
  <c r="C14" i="3"/>
  <c r="R21" i="1"/>
  <c r="D35" i="1" l="1"/>
  <c r="J35" i="1" s="1"/>
  <c r="M35" i="1" s="1"/>
  <c r="C12" i="8"/>
  <c r="D37" i="1"/>
  <c r="M33" i="1"/>
  <c r="M37" i="1" s="1"/>
  <c r="J37" i="1"/>
  <c r="D14" i="3"/>
  <c r="G13" i="3"/>
  <c r="I13" i="3" s="1"/>
  <c r="J13" i="3" s="1"/>
  <c r="L13" i="3" s="1"/>
  <c r="M13" i="3" s="1"/>
  <c r="K32" i="1"/>
  <c r="O31" i="1"/>
  <c r="P31" i="1" s="1"/>
  <c r="R31" i="1" s="1"/>
  <c r="C35" i="3" s="1"/>
  <c r="E35" i="3" s="1"/>
  <c r="E34" i="3"/>
  <c r="M12" i="3"/>
  <c r="I34" i="1"/>
  <c r="E14" i="3"/>
  <c r="C15" i="3"/>
  <c r="N33" i="1" l="1"/>
  <c r="N34" i="1" s="1"/>
  <c r="N35" i="1" s="1"/>
  <c r="N12" i="8" s="1"/>
  <c r="I12" i="8"/>
  <c r="I13" i="8" s="1"/>
  <c r="I14" i="8" s="1"/>
  <c r="C13" i="8"/>
  <c r="K33" i="1"/>
  <c r="O32" i="1"/>
  <c r="P32" i="1" s="1"/>
  <c r="F14" i="3"/>
  <c r="D34" i="3" s="1"/>
  <c r="F34" i="3" s="1"/>
  <c r="I35" i="1"/>
  <c r="C14" i="8" l="1"/>
  <c r="D13" i="8"/>
  <c r="I15" i="8"/>
  <c r="G14" i="3"/>
  <c r="I14" i="3" s="1"/>
  <c r="J14" i="3" s="1"/>
  <c r="L14" i="3" s="1"/>
  <c r="G34" i="3"/>
  <c r="I34" i="3" s="1"/>
  <c r="J34" i="3" s="1"/>
  <c r="L34" i="3" s="1"/>
  <c r="D35" i="3"/>
  <c r="F35" i="3" s="1"/>
  <c r="R32" i="1"/>
  <c r="K34" i="1"/>
  <c r="O33" i="1"/>
  <c r="P33" i="1" s="1"/>
  <c r="R33" i="1" s="1"/>
  <c r="C37" i="3" s="1"/>
  <c r="E37" i="3" s="1"/>
  <c r="L15" i="3" l="1"/>
  <c r="M13" i="5"/>
  <c r="I16" i="8"/>
  <c r="J13" i="8"/>
  <c r="D14" i="8"/>
  <c r="J14" i="8" s="1"/>
  <c r="C15" i="8"/>
  <c r="C36" i="3"/>
  <c r="D36" i="3"/>
  <c r="G35" i="3"/>
  <c r="I35" i="3" s="1"/>
  <c r="J35" i="3" s="1"/>
  <c r="L35" i="3" s="1"/>
  <c r="M35" i="3" s="1"/>
  <c r="M34" i="3"/>
  <c r="K35" i="1"/>
  <c r="O34" i="1"/>
  <c r="P34" i="1" s="1"/>
  <c r="R34" i="1" s="1"/>
  <c r="C38" i="3" s="1"/>
  <c r="E38" i="3" s="1"/>
  <c r="M14" i="3"/>
  <c r="N13" i="5" l="1"/>
  <c r="M15" i="5"/>
  <c r="N15" i="5" s="1"/>
  <c r="O35" i="1"/>
  <c r="P35" i="1" s="1"/>
  <c r="R35" i="1" s="1"/>
  <c r="C39" i="3" s="1"/>
  <c r="E39" i="3" s="1"/>
  <c r="K12" i="8"/>
  <c r="M14" i="8"/>
  <c r="M13" i="8"/>
  <c r="N13" i="8" s="1"/>
  <c r="N14" i="8" s="1"/>
  <c r="K13" i="8"/>
  <c r="K14" i="8" s="1"/>
  <c r="C16" i="8"/>
  <c r="D15" i="8"/>
  <c r="J15" i="8" s="1"/>
  <c r="I17" i="8"/>
  <c r="R37" i="1"/>
  <c r="P37" i="1"/>
  <c r="E36" i="3"/>
  <c r="F36" i="3" s="1"/>
  <c r="C40" i="3"/>
  <c r="M15" i="8" l="1"/>
  <c r="K15" i="8"/>
  <c r="D16" i="8"/>
  <c r="J16" i="8" s="1"/>
  <c r="C17" i="8"/>
  <c r="O14" i="8"/>
  <c r="P14" i="8" s="1"/>
  <c r="R14" i="8" s="1"/>
  <c r="I18" i="8"/>
  <c r="O13" i="8"/>
  <c r="P13" i="8" s="1"/>
  <c r="N15" i="8"/>
  <c r="D37" i="3"/>
  <c r="F37" i="3" s="1"/>
  <c r="G36" i="3"/>
  <c r="I36" i="3" s="1"/>
  <c r="J36" i="3" s="1"/>
  <c r="L36" i="3" s="1"/>
  <c r="I19" i="8" l="1"/>
  <c r="D17" i="8"/>
  <c r="J17" i="8" s="1"/>
  <c r="C18" i="8"/>
  <c r="M16" i="8"/>
  <c r="N16" i="8" s="1"/>
  <c r="K16" i="8"/>
  <c r="R13" i="8"/>
  <c r="O15" i="8"/>
  <c r="P15" i="8" s="1"/>
  <c r="R15" i="8" s="1"/>
  <c r="M36" i="3"/>
  <c r="D38" i="3"/>
  <c r="F38" i="3" s="1"/>
  <c r="G37" i="3"/>
  <c r="I37" i="3" s="1"/>
  <c r="J37" i="3" s="1"/>
  <c r="L37" i="3" s="1"/>
  <c r="D18" i="8" l="1"/>
  <c r="J18" i="8" s="1"/>
  <c r="C19" i="8"/>
  <c r="M17" i="8"/>
  <c r="N17" i="8" s="1"/>
  <c r="K17" i="8"/>
  <c r="O16" i="8"/>
  <c r="P16" i="8" s="1"/>
  <c r="R16" i="8" s="1"/>
  <c r="I20" i="8"/>
  <c r="M37" i="3"/>
  <c r="D39" i="3"/>
  <c r="F39" i="3" s="1"/>
  <c r="G39" i="3" s="1"/>
  <c r="I39" i="3" s="1"/>
  <c r="J39" i="3" s="1"/>
  <c r="L39" i="3" s="1"/>
  <c r="G38" i="3"/>
  <c r="I38" i="3" s="1"/>
  <c r="J38" i="3" s="1"/>
  <c r="L38" i="3" s="1"/>
  <c r="M38" i="3" s="1"/>
  <c r="I21" i="8" l="1"/>
  <c r="C20" i="8"/>
  <c r="D19" i="8"/>
  <c r="J19" i="8" s="1"/>
  <c r="K18" i="8"/>
  <c r="O18" i="8" s="1"/>
  <c r="P18" i="8" s="1"/>
  <c r="R18" i="8" s="1"/>
  <c r="M18" i="8"/>
  <c r="N18" i="8" s="1"/>
  <c r="O17" i="8"/>
  <c r="P17" i="8" s="1"/>
  <c r="R17" i="8" s="1"/>
  <c r="M39" i="3"/>
  <c r="C16" i="4" s="1"/>
  <c r="L40" i="3"/>
  <c r="M19" i="8" l="1"/>
  <c r="K19" i="8"/>
  <c r="C21" i="8"/>
  <c r="D20" i="8"/>
  <c r="J20" i="8" s="1"/>
  <c r="N19" i="8"/>
  <c r="I22" i="8"/>
  <c r="M20" i="8" l="1"/>
  <c r="N20" i="8" s="1"/>
  <c r="K20" i="8"/>
  <c r="D21" i="8"/>
  <c r="J21" i="8" s="1"/>
  <c r="C22" i="8"/>
  <c r="I23" i="8"/>
  <c r="I24" i="8" s="1"/>
  <c r="O19" i="8"/>
  <c r="P19" i="8" s="1"/>
  <c r="R19" i="8" l="1"/>
  <c r="C23" i="8"/>
  <c r="D22" i="8"/>
  <c r="J22" i="8" s="1"/>
  <c r="M21" i="8"/>
  <c r="N21" i="8" s="1"/>
  <c r="K21" i="8"/>
  <c r="O20" i="8"/>
  <c r="P20" i="8" s="1"/>
  <c r="R20" i="8" s="1"/>
  <c r="M22" i="8" l="1"/>
  <c r="N22" i="8" s="1"/>
  <c r="K22" i="8"/>
  <c r="D23" i="8"/>
  <c r="J23" i="8" s="1"/>
  <c r="C24" i="8"/>
  <c r="D24" i="8" s="1"/>
  <c r="O21" i="8"/>
  <c r="P21" i="8" s="1"/>
  <c r="R21" i="8" s="1"/>
  <c r="J24" i="8" l="1"/>
  <c r="J25" i="8" s="1"/>
  <c r="D25" i="8"/>
  <c r="M24" i="8"/>
  <c r="M23" i="8"/>
  <c r="N23" i="8" s="1"/>
  <c r="K23" i="8"/>
  <c r="O22" i="8"/>
  <c r="P22" i="8" s="1"/>
  <c r="R22" i="8" s="1"/>
  <c r="M25" i="8" l="1"/>
  <c r="C11" i="4"/>
  <c r="O23" i="8"/>
  <c r="P23" i="8" s="1"/>
  <c r="R23" i="8" s="1"/>
  <c r="N24" i="8"/>
  <c r="K24" i="8"/>
  <c r="O24" i="8" l="1"/>
  <c r="P24" i="8" s="1"/>
  <c r="R24" i="8" l="1"/>
  <c r="R25" i="8" s="1"/>
  <c r="P25" i="8"/>
  <c r="C12" i="4" s="1"/>
  <c r="C14" i="4" s="1"/>
  <c r="C17" i="4" s="1"/>
  <c r="C20" i="4" l="1"/>
</calcChain>
</file>

<file path=xl/sharedStrings.xml><?xml version="1.0" encoding="utf-8"?>
<sst xmlns="http://schemas.openxmlformats.org/spreadsheetml/2006/main" count="1237" uniqueCount="162">
  <si>
    <t>JERSEY CENTRAL POWER &amp; LIGHT COMPANY</t>
  </si>
  <si>
    <t>Energy Efficiency &amp; Conservation ("EEC") Program</t>
  </si>
  <si>
    <t>Actual EEC revenues by Rate Class</t>
  </si>
  <si>
    <t>Total</t>
  </si>
  <si>
    <t>Residential</t>
  </si>
  <si>
    <t>Commercial</t>
  </si>
  <si>
    <t>Industrial</t>
  </si>
  <si>
    <t>Public Street</t>
  </si>
  <si>
    <t xml:space="preserve">Actual </t>
  </si>
  <si>
    <t>Month</t>
  </si>
  <si>
    <t>Class</t>
  </si>
  <si>
    <t>Lights</t>
  </si>
  <si>
    <t>Revenues</t>
  </si>
  <si>
    <t>Total 2021</t>
  </si>
  <si>
    <t>Actual Monthly Revenue Requirement (7/1/21 to 12/31/21)</t>
  </si>
  <si>
    <t>Forecasted Monthly Revenue Requirement (1/1/22 to 6/30/22)</t>
  </si>
  <si>
    <t>Actual Revenue Requirement</t>
  </si>
  <si>
    <t>JCP&amp;L EEC Investments</t>
  </si>
  <si>
    <t>Tax Adjustment for Deferred Income Tax</t>
  </si>
  <si>
    <t>Cumulative</t>
  </si>
  <si>
    <t>Customer</t>
  </si>
  <si>
    <t>Incentives/Outside</t>
  </si>
  <si>
    <t>Third</t>
  </si>
  <si>
    <t>Third Party</t>
  </si>
  <si>
    <t>Accumulated</t>
  </si>
  <si>
    <t xml:space="preserve">Accumulated </t>
  </si>
  <si>
    <t xml:space="preserve">Service </t>
  </si>
  <si>
    <t>Party</t>
  </si>
  <si>
    <t>Financing</t>
  </si>
  <si>
    <t>Tax</t>
  </si>
  <si>
    <t>Deferred</t>
  </si>
  <si>
    <t xml:space="preserve">Deferred </t>
  </si>
  <si>
    <t>Operating &amp;</t>
  </si>
  <si>
    <t xml:space="preserve">Amortization </t>
  </si>
  <si>
    <t>Amortization</t>
  </si>
  <si>
    <t>Income</t>
  </si>
  <si>
    <t>Net</t>
  </si>
  <si>
    <t>Return</t>
  </si>
  <si>
    <t>Maintenance</t>
  </si>
  <si>
    <t>Revenue</t>
  </si>
  <si>
    <t>Investment</t>
  </si>
  <si>
    <t>Expense</t>
  </si>
  <si>
    <t>Component</t>
  </si>
  <si>
    <t>Requirement</t>
  </si>
  <si>
    <t>Forecasted Revenue Requirement</t>
  </si>
  <si>
    <t>Third Party Financing Amortization Schedule</t>
  </si>
  <si>
    <t>Attachment XXX</t>
  </si>
  <si>
    <t>Actual Reconcilation of Revenues and Revenue Requirements</t>
  </si>
  <si>
    <t xml:space="preserve">Beginning </t>
  </si>
  <si>
    <t>Current</t>
  </si>
  <si>
    <t>Ending</t>
  </si>
  <si>
    <t>Actual</t>
  </si>
  <si>
    <t>EE&amp;C</t>
  </si>
  <si>
    <t>Period</t>
  </si>
  <si>
    <t xml:space="preserve">Average </t>
  </si>
  <si>
    <t xml:space="preserve">Total </t>
  </si>
  <si>
    <t>Monthly</t>
  </si>
  <si>
    <t>Interest</t>
  </si>
  <si>
    <t>EEC</t>
  </si>
  <si>
    <t>Deferral</t>
  </si>
  <si>
    <t>(Over)/Under</t>
  </si>
  <si>
    <t>Beginning</t>
  </si>
  <si>
    <t>Average Bal.</t>
  </si>
  <si>
    <t>Income/</t>
  </si>
  <si>
    <t>Balance</t>
  </si>
  <si>
    <t>Collection</t>
  </si>
  <si>
    <t>Ending Balance</t>
  </si>
  <si>
    <t>Rate</t>
  </si>
  <si>
    <t>Net of Tax</t>
  </si>
  <si>
    <t>Rate *</t>
  </si>
  <si>
    <t>Forecasted Reconciliation</t>
  </si>
  <si>
    <t>Forecasted Revenues</t>
  </si>
  <si>
    <t>Forecasted</t>
  </si>
  <si>
    <t>EE&amp;C Rate</t>
  </si>
  <si>
    <t xml:space="preserve">Forecasted </t>
  </si>
  <si>
    <t>kWh Sales</t>
  </si>
  <si>
    <t>per kWh</t>
  </si>
  <si>
    <t xml:space="preserve">Revenue </t>
  </si>
  <si>
    <t xml:space="preserve">Deferral </t>
  </si>
  <si>
    <t>* Two year Treasury plus 60 basis points.</t>
  </si>
  <si>
    <t>Projected Revenue Requirement (7/1/22 to 6/30/23)</t>
  </si>
  <si>
    <t>EEC Component of the RRC Rider Charge</t>
  </si>
  <si>
    <t>For the Period July 1, 2022 to June 30, 2023</t>
  </si>
  <si>
    <t xml:space="preserve">to </t>
  </si>
  <si>
    <t>Line #</t>
  </si>
  <si>
    <t>Amortization Expense</t>
  </si>
  <si>
    <t>Rate of Return</t>
  </si>
  <si>
    <t>O &amp; M Expenses</t>
  </si>
  <si>
    <t>Total Projected Revenue Requirement - 7/1/22 - 6/30/23</t>
  </si>
  <si>
    <t>Actual Reconciliation (Over)/Under Collection 7/1/21 to 12/31/21, Forecasted Reconciliation 1/1/22 to 6/30/22</t>
  </si>
  <si>
    <t>Total Net Revenue Requirement - 7/1/22 - 6/30/23</t>
  </si>
  <si>
    <t>Forecasted MWh</t>
  </si>
  <si>
    <t>Proposed rate w/o SUT ($/kWh)</t>
  </si>
  <si>
    <t>Proposed rate w SUT ($/kWh)</t>
  </si>
  <si>
    <t>Revenues received</t>
  </si>
  <si>
    <t>Journal Entries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</si>
  <si>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</si>
  <si>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</si>
  <si>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</si>
  <si>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</si>
  <si>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</si>
  <si>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</si>
  <si>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</si>
  <si>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</si>
  <si>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</si>
  <si>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</si>
  <si>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</si>
  <si>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</si>
  <si>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</si>
  <si>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To Record the Monthly Deferral</t>
  </si>
  <si>
    <r>
      <rPr>
        <b/>
        <sz val="10"/>
        <color theme="1"/>
        <rFont val="Arial"/>
        <family val="2"/>
      </rPr>
      <t>182562</t>
    </r>
    <r>
      <rPr>
        <sz val="10"/>
        <color theme="1"/>
        <rFont val="Arial"/>
        <family val="2"/>
      </rPr>
      <t xml:space="preserve"> - Other Regulatory Asset - EE&amp;C Deferral</t>
    </r>
  </si>
  <si>
    <r>
      <rPr>
        <b/>
        <sz val="10"/>
        <color theme="1"/>
        <rFont val="Arial"/>
        <family val="2"/>
      </rPr>
      <t xml:space="preserve">407850 </t>
    </r>
    <r>
      <rPr>
        <sz val="10"/>
        <color theme="1"/>
        <rFont val="Arial"/>
        <family val="2"/>
      </rPr>
      <t>- Regulatory Debits (CC 461019)</t>
    </r>
  </si>
  <si>
    <t>To Record the Monthly Interest on Over/(Under) Recovery</t>
  </si>
  <si>
    <r>
      <rPr>
        <b/>
        <sz val="10"/>
        <color theme="1"/>
        <rFont val="Arial"/>
        <family val="2"/>
      </rPr>
      <t>182562</t>
    </r>
    <r>
      <rPr>
        <sz val="10"/>
        <color theme="1"/>
        <rFont val="Arial"/>
        <family val="2"/>
      </rPr>
      <t xml:space="preserve"> - Other Regulatory Asset </t>
    </r>
  </si>
  <si>
    <r>
      <rPr>
        <b/>
        <sz val="10"/>
        <color theme="1"/>
        <rFont val="Arial"/>
        <family val="2"/>
      </rPr>
      <t>419003</t>
    </r>
    <r>
      <rPr>
        <sz val="10"/>
        <color theme="1"/>
        <rFont val="Arial"/>
        <family val="2"/>
      </rPr>
      <t xml:space="preserve"> - Interest Income (CC 461019)</t>
    </r>
  </si>
  <si>
    <r>
      <rPr>
        <b/>
        <sz val="10"/>
        <color theme="1"/>
        <rFont val="Arial"/>
        <family val="2"/>
      </rPr>
      <t>431125</t>
    </r>
    <r>
      <rPr>
        <sz val="10"/>
        <color theme="1"/>
        <rFont val="Arial"/>
        <family val="2"/>
      </rPr>
      <t xml:space="preserve"> - Interest Expense (CC 461019)</t>
    </r>
  </si>
  <si>
    <t>To Record the Monthly Investment (10 Year, Program Investment)</t>
  </si>
  <si>
    <r>
      <rPr>
        <b/>
        <sz val="10"/>
        <color theme="1"/>
        <rFont val="Arial"/>
        <family val="2"/>
      </rPr>
      <t>182135</t>
    </r>
    <r>
      <rPr>
        <sz val="10"/>
        <color theme="1"/>
        <rFont val="Arial"/>
        <family val="2"/>
      </rPr>
      <t xml:space="preserve"> - Other Regulatory Asset - EE&amp;C Investment</t>
    </r>
  </si>
  <si>
    <r>
      <rPr>
        <b/>
        <sz val="10"/>
        <color theme="1"/>
        <rFont val="Arial"/>
        <family val="2"/>
      </rPr>
      <t>407135</t>
    </r>
    <r>
      <rPr>
        <sz val="10"/>
        <color theme="1"/>
        <rFont val="Arial"/>
        <family val="2"/>
      </rPr>
      <t xml:space="preserve"> - Investment - Regulatory Asset (CC 461019)</t>
    </r>
  </si>
  <si>
    <t>To Record the Monthly Investment (1 Year, 3rd Party Financing)</t>
  </si>
  <si>
    <t>To Record the Monthly Amortization (10 Year, Program Investment)</t>
  </si>
  <si>
    <r>
      <rPr>
        <b/>
        <sz val="10"/>
        <color theme="1"/>
        <rFont val="Arial"/>
        <family val="2"/>
      </rPr>
      <t>182135</t>
    </r>
    <r>
      <rPr>
        <sz val="10"/>
        <color theme="1"/>
        <rFont val="Arial"/>
        <family val="2"/>
      </rPr>
      <t xml:space="preserve"> - Other Regulatory Asset - EE&amp;C Investment Amortization</t>
    </r>
  </si>
  <si>
    <r>
      <rPr>
        <b/>
        <sz val="10"/>
        <color theme="1"/>
        <rFont val="Arial"/>
        <family val="2"/>
      </rPr>
      <t>407135</t>
    </r>
    <r>
      <rPr>
        <sz val="10"/>
        <color theme="1"/>
        <rFont val="Arial"/>
        <family val="2"/>
      </rPr>
      <t xml:space="preserve"> - Amortization - Regulatory Asset (CC 461019)</t>
    </r>
  </si>
  <si>
    <t>To Record the Monthly Amortization (1 Year, 3rd Party Financing)</t>
  </si>
  <si>
    <t>RRC Rate Impacts</t>
  </si>
  <si>
    <t>Jersey Central Power &amp; Light</t>
  </si>
  <si>
    <t>kWh Forecast</t>
  </si>
  <si>
    <t>RES</t>
  </si>
  <si>
    <t>COM</t>
  </si>
  <si>
    <t>IND</t>
  </si>
  <si>
    <t>JC01</t>
  </si>
  <si>
    <t>JC</t>
  </si>
  <si>
    <t>OL</t>
  </si>
  <si>
    <t>202207</t>
  </si>
  <si>
    <t>202208</t>
  </si>
  <si>
    <t>202209</t>
  </si>
  <si>
    <t>202210</t>
  </si>
  <si>
    <t>202211</t>
  </si>
  <si>
    <t>202212</t>
  </si>
  <si>
    <t>202301</t>
  </si>
  <si>
    <t>202302</t>
  </si>
  <si>
    <t>202303</t>
  </si>
  <si>
    <t>202304</t>
  </si>
  <si>
    <t>202305</t>
  </si>
  <si>
    <t>202306</t>
  </si>
  <si>
    <t>STLT</t>
  </si>
  <si>
    <t>GP</t>
  </si>
  <si>
    <t>GP_FRAN</t>
  </si>
  <si>
    <t>GS</t>
  </si>
  <si>
    <t>GS_FRAN</t>
  </si>
  <si>
    <t>GST</t>
  </si>
  <si>
    <t>GST_FRAN</t>
  </si>
  <si>
    <t>GT</t>
  </si>
  <si>
    <t>GT_230</t>
  </si>
  <si>
    <t>GT_DOD</t>
  </si>
  <si>
    <t>GT_FRAN</t>
  </si>
  <si>
    <t>GT_PROV_D</t>
  </si>
  <si>
    <t>RS</t>
  </si>
  <si>
    <t>RSH</t>
  </si>
  <si>
    <t>RGT</t>
  </si>
  <si>
    <t>RT</t>
  </si>
  <si>
    <t>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</si>
</sst>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0.00000%"/>
    <numFmt numFmtId="168" formatCode="_(&quot;$&quot;* #,##0.000000_);_(&quot;$&quot;* \(#,##0.000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1" applyNumberFormat="1" applyFont="1"/>
    <xf numFmtId="165" fontId="0" fillId="0" borderId="0" xfId="2" applyNumberFormat="1" applyFont="1"/>
    <xf numFmtId="165" fontId="0" fillId="0" borderId="0" xfId="0" applyNumberFormat="1"/>
    <xf numFmtId="10" fontId="0" fillId="0" borderId="0" xfId="3" applyNumberFormat="1" applyFont="1"/>
    <xf numFmtId="166" fontId="0" fillId="0" borderId="0" xfId="3" applyNumberFormat="1" applyFont="1"/>
    <xf numFmtId="167" fontId="2" fillId="0" borderId="0" xfId="3" applyNumberFormat="1" applyFont="1" applyAlignment="1">
      <alignment horizontal="center"/>
    </xf>
    <xf numFmtId="167" fontId="2" fillId="0" borderId="2" xfId="3" applyNumberFormat="1" applyFont="1" applyBorder="1"/>
    <xf numFmtId="0" fontId="2" fillId="0" borderId="1" xfId="0" applyFont="1" applyBorder="1" applyAlignment="1">
      <alignment horizontal="center"/>
    </xf>
    <xf numFmtId="165" fontId="6" fillId="0" borderId="0" xfId="2" applyNumberFormat="1" applyFont="1"/>
    <xf numFmtId="165" fontId="6" fillId="0" borderId="0" xfId="0" applyNumberFormat="1" applyFont="1"/>
    <xf numFmtId="164" fontId="5" fillId="0" borderId="0" xfId="1" applyNumberFormat="1" applyFont="1"/>
    <xf numFmtId="164" fontId="7" fillId="0" borderId="0" xfId="1" applyNumberFormat="1" applyFont="1" applyBorder="1" applyAlignment="1">
      <alignment vertical="center"/>
    </xf>
    <xf numFmtId="165" fontId="5" fillId="0" borderId="0" xfId="2" applyNumberFormat="1" applyFont="1" applyAlignment="1">
      <alignment wrapText="1"/>
    </xf>
    <xf numFmtId="168" fontId="2" fillId="0" borderId="2" xfId="0" applyNumberFormat="1" applyFont="1" applyBorder="1"/>
    <xf numFmtId="168" fontId="2" fillId="0" borderId="0" xfId="2" applyNumberFormat="1" applyFont="1" applyBorder="1"/>
    <xf numFmtId="14" fontId="2" fillId="0" borderId="0" xfId="0" applyNumberFormat="1" applyFont="1" applyAlignment="1">
      <alignment horizontal="center"/>
    </xf>
    <xf numFmtId="44" fontId="8" fillId="0" borderId="3" xfId="2" applyFont="1" applyFill="1" applyBorder="1" applyAlignment="1">
      <alignment vertical="center"/>
    </xf>
    <xf numFmtId="0" fontId="7" fillId="0" borderId="0" xfId="0" applyFont="1" applyAlignment="1">
      <alignment vertical="center"/>
    </xf>
    <xf numFmtId="44" fontId="7" fillId="0" borderId="5" xfId="2" applyFont="1" applyFill="1" applyBorder="1" applyAlignment="1">
      <alignment vertical="center"/>
    </xf>
    <xf numFmtId="0" fontId="0" fillId="0" borderId="0" xfId="0" applyAlignment="1">
      <alignment vertical="center"/>
    </xf>
    <xf numFmtId="164" fontId="7" fillId="0" borderId="6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0" borderId="8" xfId="1" applyNumberFormat="1" applyFont="1" applyBorder="1" applyAlignment="1">
      <alignment vertical="center"/>
    </xf>
    <xf numFmtId="164" fontId="7" fillId="0" borderId="9" xfId="1" applyNumberFormat="1" applyFont="1" applyBorder="1" applyAlignment="1">
      <alignment vertical="center"/>
    </xf>
    <xf numFmtId="44" fontId="8" fillId="0" borderId="5" xfId="2" applyFont="1" applyFill="1" applyBorder="1" applyAlignment="1">
      <alignment vertical="center"/>
    </xf>
    <xf numFmtId="164" fontId="0" fillId="0" borderId="10" xfId="1" applyNumberFormat="1" applyFont="1" applyBorder="1"/>
    <xf numFmtId="164" fontId="0" fillId="0" borderId="6" xfId="1" applyNumberFormat="1" applyFont="1" applyBorder="1"/>
    <xf numFmtId="44" fontId="7" fillId="0" borderId="11" xfId="2" applyFont="1" applyFill="1" applyBorder="1" applyAlignment="1">
      <alignment vertical="center"/>
    </xf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44" fontId="10" fillId="0" borderId="14" xfId="2" applyFont="1" applyFill="1" applyBorder="1" applyAlignment="1">
      <alignment vertical="center"/>
    </xf>
    <xf numFmtId="44" fontId="7" fillId="0" borderId="14" xfId="2" applyFont="1" applyFill="1" applyBorder="1" applyAlignment="1">
      <alignment vertical="center"/>
    </xf>
    <xf numFmtId="164" fontId="0" fillId="0" borderId="16" xfId="1" applyNumberFormat="1" applyFont="1" applyBorder="1"/>
    <xf numFmtId="164" fontId="0" fillId="0" borderId="4" xfId="1" applyNumberFormat="1" applyFont="1" applyBorder="1"/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4" fontId="7" fillId="0" borderId="10" xfId="1" applyNumberFormat="1" applyFont="1" applyBorder="1" applyAlignment="1">
      <alignment vertical="center"/>
    </xf>
    <xf numFmtId="44" fontId="10" fillId="0" borderId="5" xfId="2" applyFont="1" applyFill="1" applyBorder="1" applyAlignment="1">
      <alignment vertical="center"/>
    </xf>
    <xf numFmtId="164" fontId="0" fillId="0" borderId="0" xfId="1" applyNumberFormat="1" applyFont="1" applyFill="1"/>
    <xf numFmtId="164" fontId="5" fillId="0" borderId="0" xfId="1" applyNumberFormat="1" applyFont="1" applyFill="1"/>
    <xf numFmtId="166" fontId="0" fillId="0" borderId="0" xfId="3" applyNumberFormat="1" applyFont="1" applyFill="1"/>
    <xf numFmtId="164" fontId="0" fillId="0" borderId="10" xfId="1" applyNumberFormat="1" applyFont="1" applyFill="1" applyBorder="1"/>
    <xf numFmtId="164" fontId="7" fillId="0" borderId="10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4" fontId="0" fillId="0" borderId="12" xfId="1" applyNumberFormat="1" applyFont="1" applyFill="1" applyBorder="1"/>
    <xf numFmtId="164" fontId="0" fillId="0" borderId="0" xfId="1" applyNumberFormat="1" applyFont="1" applyFill="1" applyBorder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0" fontId="11" fillId="0" borderId="0" xfId="0" applyFont="1"/>
    <xf numFmtId="164" fontId="0" fillId="0" borderId="0" xfId="0" applyNumberFormat="1"/>
    <xf numFmtId="164" fontId="2" fillId="0" borderId="0" xfId="0" applyNumberFormat="1" applyFont="1"/>
    <xf numFmtId="168" fontId="0" fillId="0" borderId="0" xfId="2" applyNumberFormat="1" applyFont="1"/>
    <xf numFmtId="164" fontId="5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4" fontId="0" fillId="0" borderId="0" xfId="0" applyNumberFormat="1"/>
    <xf numFmtId="43" fontId="0" fillId="0" borderId="0" xfId="0" applyNumberFormat="1"/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1750.2FB36C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9</xdr:col>
      <xdr:colOff>316672</xdr:colOff>
      <xdr:row>34</xdr:row>
      <xdr:rowOff>114300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5DC7FE4B-56B4-4363-8D33-EBC48D45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5803072" cy="5234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rstenergycorp.sharepoint.com/sites/njbpu/Petitions%20and%20Comments/2022%20RRC%20Petition/NJ%20Deferral%20Template%20Master%20DEV12-1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Review"/>
      <sheetName val="SAP Upload"/>
      <sheetName val="Control Sheet"/>
      <sheetName val="DSF"/>
      <sheetName val="UNC"/>
      <sheetName val="RAC"/>
      <sheetName val="USF"/>
      <sheetName val="BGS"/>
      <sheetName val="NGC"/>
      <sheetName val="LCAPP"/>
      <sheetName val="RRC"/>
      <sheetName val="EEC"/>
      <sheetName val="TAA"/>
      <sheetName val="VMS"/>
      <sheetName val="ZEC"/>
      <sheetName val="VOSA"/>
      <sheetName val="Revenue Data"/>
      <sheetName val="Expense Data GL"/>
      <sheetName val="Expense Data CCOL"/>
    </sheetNames>
    <sheetDataSet>
      <sheetData sheetId="0"/>
      <sheetData sheetId="1"/>
      <sheetData sheetId="2"/>
      <sheetData sheetId="3">
        <row r="2">
          <cell r="F2">
            <v>2021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47CE5-4DE7-4485-924C-0E779858AE1C}">
  <sheetPr>
    <pageSetUpPr fitToPage="1"/>
  </sheetPr>
  <dimension ref="A1:F16"/>
  <sheetViews>
    <sheetView workbookViewId="0">
      <selection activeCell="F15" sqref="F15"/>
    </sheetView>
  </sheetViews>
  <sheetFormatPr defaultRowHeight="14.4" x14ac:dyDescent="0.3"/>
  <cols>
    <col min="1" max="1" width="12.44140625" customWidth="1"/>
    <col min="2" max="2" width="13.6640625" bestFit="1" customWidth="1"/>
    <col min="3" max="3" width="12.109375" bestFit="1" customWidth="1"/>
    <col min="4" max="4" width="11.109375" bestFit="1" customWidth="1"/>
    <col min="5" max="5" width="11.5546875" bestFit="1" customWidth="1"/>
    <col min="6" max="6" width="12.5546875" bestFit="1" customWidth="1"/>
  </cols>
  <sheetData>
    <row r="1" spans="1:6" ht="15.6" x14ac:dyDescent="0.3">
      <c r="A1" s="6" t="s">
        <v>0</v>
      </c>
    </row>
    <row r="2" spans="1:6" ht="15.6" x14ac:dyDescent="0.3">
      <c r="A2" s="7" t="s">
        <v>1</v>
      </c>
    </row>
    <row r="3" spans="1:6" x14ac:dyDescent="0.3">
      <c r="A3" s="3" t="s">
        <v>2</v>
      </c>
    </row>
    <row r="6" spans="1:6" x14ac:dyDescent="0.3">
      <c r="A6" s="2"/>
      <c r="B6" s="2"/>
      <c r="C6" s="2"/>
      <c r="D6" s="2"/>
      <c r="E6" s="2"/>
      <c r="F6" s="2" t="s">
        <v>3</v>
      </c>
    </row>
    <row r="7" spans="1:6" x14ac:dyDescent="0.3">
      <c r="A7" s="2"/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6" x14ac:dyDescent="0.3">
      <c r="A8" s="17" t="s">
        <v>9</v>
      </c>
      <c r="B8" s="17" t="s">
        <v>10</v>
      </c>
      <c r="C8" s="17" t="s">
        <v>10</v>
      </c>
      <c r="D8" s="17" t="s">
        <v>10</v>
      </c>
      <c r="E8" s="17" t="s">
        <v>11</v>
      </c>
      <c r="F8" s="17" t="s">
        <v>12</v>
      </c>
    </row>
    <row r="10" spans="1:6" x14ac:dyDescent="0.3">
      <c r="A10" s="8">
        <v>44378</v>
      </c>
      <c r="B10" s="11">
        <v>283198.59000000003</v>
      </c>
      <c r="C10" s="11">
        <v>149508.39000000001</v>
      </c>
      <c r="D10" s="11">
        <v>30335.72</v>
      </c>
      <c r="E10" s="11">
        <v>2347.59</v>
      </c>
      <c r="F10" s="12">
        <f>SUM(B10:E10)</f>
        <v>465390.2900000001</v>
      </c>
    </row>
    <row r="11" spans="1:6" x14ac:dyDescent="0.3">
      <c r="A11" s="8">
        <v>44409</v>
      </c>
      <c r="B11" s="10">
        <v>670132.51</v>
      </c>
      <c r="C11" s="10">
        <v>403937.4</v>
      </c>
      <c r="D11" s="10">
        <v>95996.37</v>
      </c>
      <c r="E11" s="10">
        <v>4258.3999999999996</v>
      </c>
      <c r="F11" s="10">
        <f t="shared" ref="F11:F15" si="0">SUM(B11:E11)</f>
        <v>1174324.6800000002</v>
      </c>
    </row>
    <row r="12" spans="1:6" x14ac:dyDescent="0.3">
      <c r="A12" s="8">
        <v>44440</v>
      </c>
      <c r="B12" s="10">
        <v>668709.95247362263</v>
      </c>
      <c r="C12" s="10">
        <v>413535.23349355202</v>
      </c>
      <c r="D12" s="10">
        <v>100483.52211019931</v>
      </c>
      <c r="E12" s="10">
        <v>4441.0333059788982</v>
      </c>
      <c r="F12" s="10">
        <f t="shared" si="0"/>
        <v>1187169.7413833528</v>
      </c>
    </row>
    <row r="13" spans="1:6" x14ac:dyDescent="0.3">
      <c r="A13" s="8">
        <v>44470</v>
      </c>
      <c r="B13" s="10">
        <v>433656.95</v>
      </c>
      <c r="C13" s="10">
        <v>391684.5</v>
      </c>
      <c r="D13" s="10">
        <v>94365.95</v>
      </c>
      <c r="E13" s="10">
        <v>4424.9399999999996</v>
      </c>
      <c r="F13" s="10">
        <f t="shared" si="0"/>
        <v>924132.33999999985</v>
      </c>
    </row>
    <row r="14" spans="1:6" x14ac:dyDescent="0.3">
      <c r="A14" s="8">
        <v>44501</v>
      </c>
      <c r="B14" s="10">
        <v>368482.12758499419</v>
      </c>
      <c r="C14" s="10">
        <v>319873.92519343499</v>
      </c>
      <c r="D14" s="10">
        <v>77167.486342321223</v>
      </c>
      <c r="E14" s="10">
        <v>4440.9555216881599</v>
      </c>
      <c r="F14" s="10">
        <f t="shared" si="0"/>
        <v>769964.4946424386</v>
      </c>
    </row>
    <row r="15" spans="1:6" ht="16.2" x14ac:dyDescent="0.45">
      <c r="A15" s="8">
        <v>44531</v>
      </c>
      <c r="B15" s="55">
        <v>393424.12</v>
      </c>
      <c r="C15" s="55">
        <v>317539.96000000002</v>
      </c>
      <c r="D15" s="55">
        <v>94574.34</v>
      </c>
      <c r="E15" s="55">
        <v>4433.59</v>
      </c>
      <c r="F15" s="20">
        <f t="shared" si="0"/>
        <v>809972.01</v>
      </c>
    </row>
    <row r="16" spans="1:6" ht="16.2" x14ac:dyDescent="0.45">
      <c r="A16" s="9" t="s">
        <v>13</v>
      </c>
      <c r="B16" s="18">
        <f>SUM(B10:B15)</f>
        <v>2817604.250058617</v>
      </c>
      <c r="C16" s="18">
        <f t="shared" ref="C16:E16" si="1">SUM(C10:C15)</f>
        <v>1996079.4086869871</v>
      </c>
      <c r="D16" s="18">
        <f t="shared" si="1"/>
        <v>492923.38845252048</v>
      </c>
      <c r="E16" s="18">
        <f t="shared" si="1"/>
        <v>24346.508827667058</v>
      </c>
      <c r="F16" s="19">
        <f>SUM(B16:E16)</f>
        <v>5330953.556025791</v>
      </c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5252-B6BD-4668-90C6-94D95B98CB66}">
  <sheetPr>
    <pageSetUpPr fitToPage="1"/>
  </sheetPr>
  <dimension ref="A1:AA89"/>
  <sheetViews>
    <sheetView topLeftCell="A13" workbookViewId="0">
      <selection activeCell="P19" sqref="P19"/>
    </sheetView>
  </sheetViews>
  <sheetFormatPr defaultRowHeight="14.4" x14ac:dyDescent="0.3"/>
  <cols>
    <col min="2" max="2" width="16.33203125" bestFit="1" customWidth="1"/>
    <col min="3" max="4" width="17" bestFit="1" customWidth="1"/>
    <col min="5" max="6" width="11.88671875" bestFit="1" customWidth="1"/>
    <col min="7" max="8" width="12" bestFit="1" customWidth="1"/>
    <col min="9" max="9" width="11" customWidth="1"/>
    <col min="10" max="10" width="12" bestFit="1" customWidth="1"/>
    <col min="11" max="11" width="12.5546875" customWidth="1"/>
    <col min="12" max="12" width="14.6640625" customWidth="1"/>
    <col min="13" max="13" width="12.33203125" bestFit="1" customWidth="1"/>
    <col min="14" max="15" width="12.6640625" bestFit="1" customWidth="1"/>
    <col min="16" max="16" width="11.109375" bestFit="1" customWidth="1"/>
    <col min="17" max="17" width="12.33203125" bestFit="1" customWidth="1"/>
    <col min="18" max="18" width="12" bestFit="1" customWidth="1"/>
    <col min="19" max="25" width="11.109375" bestFit="1" customWidth="1"/>
    <col min="26" max="26" width="10.44140625" bestFit="1" customWidth="1"/>
  </cols>
  <sheetData>
    <row r="1" spans="1:18" ht="14.4" customHeight="1" x14ac:dyDescent="0.3">
      <c r="A1" s="6" t="s">
        <v>0</v>
      </c>
      <c r="B1" s="5"/>
      <c r="C1" s="5"/>
      <c r="D1" s="5"/>
      <c r="E1" s="5"/>
      <c r="F1" s="5"/>
      <c r="G1" s="5"/>
      <c r="H1" s="5"/>
      <c r="I1" s="5"/>
    </row>
    <row r="2" spans="1:18" ht="15.6" x14ac:dyDescent="0.3">
      <c r="A2" s="7" t="s">
        <v>1</v>
      </c>
    </row>
    <row r="3" spans="1:18" ht="15.6" x14ac:dyDescent="0.3">
      <c r="A3" s="7" t="s">
        <v>14</v>
      </c>
    </row>
    <row r="4" spans="1:18" ht="15.6" x14ac:dyDescent="0.3">
      <c r="A4" s="7" t="s">
        <v>15</v>
      </c>
    </row>
    <row r="5" spans="1:18" ht="15.6" x14ac:dyDescent="0.3">
      <c r="A5" s="7"/>
    </row>
    <row r="6" spans="1:18" x14ac:dyDescent="0.3">
      <c r="A6" s="64" t="s">
        <v>16</v>
      </c>
    </row>
    <row r="7" spans="1:18" ht="15.6" x14ac:dyDescent="0.3">
      <c r="A7" s="7"/>
      <c r="B7" s="73" t="s">
        <v>17</v>
      </c>
      <c r="C7" s="73"/>
      <c r="D7" s="73"/>
      <c r="E7" s="73"/>
      <c r="F7" s="73"/>
      <c r="G7" s="73"/>
      <c r="H7" s="73"/>
      <c r="I7" s="73"/>
      <c r="J7" s="73"/>
      <c r="K7" s="2"/>
      <c r="L7" s="73" t="s">
        <v>18</v>
      </c>
      <c r="M7" s="73"/>
      <c r="N7" s="73"/>
    </row>
    <row r="8" spans="1:18" x14ac:dyDescent="0.3">
      <c r="C8" s="2" t="s">
        <v>19</v>
      </c>
      <c r="D8" s="2" t="s">
        <v>20</v>
      </c>
      <c r="F8" s="2" t="s">
        <v>19</v>
      </c>
      <c r="G8" s="2" t="s">
        <v>20</v>
      </c>
    </row>
    <row r="9" spans="1:18" ht="15" thickBot="1" x14ac:dyDescent="0.35">
      <c r="B9" s="2" t="s">
        <v>20</v>
      </c>
      <c r="C9" s="2" t="s">
        <v>20</v>
      </c>
      <c r="D9" s="2" t="s">
        <v>21</v>
      </c>
      <c r="E9" s="2" t="s">
        <v>22</v>
      </c>
      <c r="F9" s="2" t="s">
        <v>22</v>
      </c>
      <c r="G9" s="2" t="s">
        <v>23</v>
      </c>
      <c r="K9" s="2" t="s">
        <v>24</v>
      </c>
      <c r="N9" s="3" t="s">
        <v>25</v>
      </c>
    </row>
    <row r="10" spans="1:18" ht="15" thickBot="1" x14ac:dyDescent="0.35">
      <c r="B10" s="2" t="s">
        <v>21</v>
      </c>
      <c r="C10" s="2" t="s">
        <v>21</v>
      </c>
      <c r="D10" s="2" t="s">
        <v>26</v>
      </c>
      <c r="E10" s="2" t="s">
        <v>27</v>
      </c>
      <c r="F10" s="2" t="s">
        <v>27</v>
      </c>
      <c r="G10" s="2" t="s">
        <v>28</v>
      </c>
      <c r="I10" s="2" t="s">
        <v>19</v>
      </c>
      <c r="J10" s="2" t="s">
        <v>3</v>
      </c>
      <c r="K10" s="2" t="s">
        <v>3</v>
      </c>
      <c r="L10" s="2" t="s">
        <v>29</v>
      </c>
      <c r="M10" s="2" t="s">
        <v>30</v>
      </c>
      <c r="N10" s="2" t="s">
        <v>31</v>
      </c>
      <c r="P10" s="16">
        <v>7.7812216821069235E-3</v>
      </c>
      <c r="Q10" s="15" t="s">
        <v>32</v>
      </c>
    </row>
    <row r="11" spans="1:18" x14ac:dyDescent="0.3">
      <c r="B11" s="2" t="s">
        <v>26</v>
      </c>
      <c r="C11" s="2" t="s">
        <v>26</v>
      </c>
      <c r="D11" s="2" t="s">
        <v>33</v>
      </c>
      <c r="E11" s="2" t="s">
        <v>28</v>
      </c>
      <c r="F11" s="2" t="s">
        <v>28</v>
      </c>
      <c r="G11" s="2" t="s">
        <v>34</v>
      </c>
      <c r="H11" s="2" t="s">
        <v>3</v>
      </c>
      <c r="I11" s="2" t="s">
        <v>3</v>
      </c>
      <c r="J11" s="2" t="s">
        <v>34</v>
      </c>
      <c r="K11" s="2" t="s">
        <v>34</v>
      </c>
      <c r="L11" s="2" t="s">
        <v>34</v>
      </c>
      <c r="M11" s="2" t="s">
        <v>35</v>
      </c>
      <c r="N11" s="2" t="s">
        <v>35</v>
      </c>
      <c r="O11" s="2" t="s">
        <v>36</v>
      </c>
      <c r="P11" s="2" t="s">
        <v>37</v>
      </c>
      <c r="Q11" s="2" t="s">
        <v>38</v>
      </c>
      <c r="R11" s="2" t="s">
        <v>39</v>
      </c>
    </row>
    <row r="12" spans="1:18" x14ac:dyDescent="0.3">
      <c r="A12" s="69" t="s">
        <v>9</v>
      </c>
      <c r="B12" s="17" t="s">
        <v>40</v>
      </c>
      <c r="C12" s="17" t="s">
        <v>40</v>
      </c>
      <c r="D12" s="17" t="s">
        <v>41</v>
      </c>
      <c r="E12" s="17" t="s">
        <v>40</v>
      </c>
      <c r="F12" s="17" t="s">
        <v>40</v>
      </c>
      <c r="G12" s="17" t="s">
        <v>41</v>
      </c>
      <c r="H12" s="17" t="s">
        <v>40</v>
      </c>
      <c r="I12" s="17" t="s">
        <v>40</v>
      </c>
      <c r="J12" s="17" t="s">
        <v>41</v>
      </c>
      <c r="K12" s="17" t="s">
        <v>41</v>
      </c>
      <c r="L12" s="17" t="s">
        <v>41</v>
      </c>
      <c r="M12" s="17" t="s">
        <v>29</v>
      </c>
      <c r="N12" s="17" t="s">
        <v>29</v>
      </c>
      <c r="O12" s="17" t="s">
        <v>40</v>
      </c>
      <c r="P12" s="17" t="s">
        <v>42</v>
      </c>
      <c r="Q12" s="17" t="s">
        <v>41</v>
      </c>
      <c r="R12" s="17" t="s">
        <v>43</v>
      </c>
    </row>
    <row r="13" spans="1:18" ht="2.4" customHeight="1" x14ac:dyDescent="0.3"/>
    <row r="14" spans="1:18" x14ac:dyDescent="0.3">
      <c r="A14" s="8">
        <v>44378</v>
      </c>
      <c r="B14" s="11">
        <v>394465.92</v>
      </c>
      <c r="C14" s="12">
        <f>C13+B14</f>
        <v>394465.92</v>
      </c>
      <c r="D14" s="11">
        <f>+ROUND(C14/10/12,0)</f>
        <v>3287</v>
      </c>
      <c r="E14" s="11">
        <v>0</v>
      </c>
      <c r="F14" s="12">
        <f>F13+E14</f>
        <v>0</v>
      </c>
      <c r="G14" s="11">
        <f>+ROUND(F14/1/12,0)</f>
        <v>0</v>
      </c>
      <c r="H14" s="12">
        <f>E14+B14</f>
        <v>394465.92</v>
      </c>
      <c r="I14" s="12">
        <f>+H14+I13</f>
        <v>394465.92</v>
      </c>
      <c r="J14" s="12">
        <f>+G14+D14</f>
        <v>3287</v>
      </c>
      <c r="K14" s="12">
        <f>+K13+J14</f>
        <v>3287</v>
      </c>
      <c r="L14" s="12">
        <f>+H14</f>
        <v>394465.92</v>
      </c>
      <c r="M14" s="12">
        <f>(L14-J14)*0.2811</f>
        <v>109960.39441200001</v>
      </c>
      <c r="N14" s="12">
        <f>N13+M14</f>
        <v>109960.39441200001</v>
      </c>
      <c r="O14" s="12">
        <f>+I14-K14-N14</f>
        <v>281218.52558799996</v>
      </c>
      <c r="P14" s="12">
        <f>O14*$P$10</f>
        <v>2188.2236887154859</v>
      </c>
      <c r="Q14" s="12">
        <v>111820.89000000001</v>
      </c>
      <c r="R14" s="12">
        <f>+Q14+P14+J14</f>
        <v>117296.1136887155</v>
      </c>
    </row>
    <row r="15" spans="1:18" x14ac:dyDescent="0.3">
      <c r="A15" s="8">
        <v>44409</v>
      </c>
      <c r="B15" s="10">
        <v>403140.33999999997</v>
      </c>
      <c r="C15" s="10">
        <f t="shared" ref="C15:C19" si="0">C14+B15</f>
        <v>797606.26</v>
      </c>
      <c r="D15" s="10">
        <f t="shared" ref="D15:D19" si="1">+ROUND(C15/10/12,0)</f>
        <v>6647</v>
      </c>
      <c r="E15" s="10">
        <v>26000</v>
      </c>
      <c r="F15" s="10">
        <f t="shared" ref="F15:F19" si="2">F14+E15</f>
        <v>26000</v>
      </c>
      <c r="G15" s="10">
        <f>+ROUND(F15/1/12,0)</f>
        <v>2167</v>
      </c>
      <c r="H15" s="10">
        <f t="shared" ref="H15:H19" si="3">E15+B15</f>
        <v>429140.33999999997</v>
      </c>
      <c r="I15" s="10">
        <f t="shared" ref="I15:I19" si="4">+H15+I14</f>
        <v>823606.26</v>
      </c>
      <c r="J15" s="10">
        <f t="shared" ref="J15:J19" si="5">+G15+D15</f>
        <v>8814</v>
      </c>
      <c r="K15" s="10">
        <f t="shared" ref="K15:K19" si="6">+K14+J15</f>
        <v>12101</v>
      </c>
      <c r="L15" s="10">
        <f t="shared" ref="L15:L19" si="7">+H15</f>
        <v>429140.33999999997</v>
      </c>
      <c r="M15" s="10">
        <f t="shared" ref="M15:M19" si="8">(L15-J15)*0.2811</f>
        <v>118153.734174</v>
      </c>
      <c r="N15" s="10">
        <f t="shared" ref="N15:N19" si="9">N14+M15</f>
        <v>228114.12858600001</v>
      </c>
      <c r="O15" s="10">
        <f t="shared" ref="O15:O19" si="10">+I15-K15-N15</f>
        <v>583391.13141399994</v>
      </c>
      <c r="P15" s="10">
        <f t="shared" ref="P15:P19" si="11">O15*$P$10</f>
        <v>4539.4957209075055</v>
      </c>
      <c r="Q15" s="10">
        <v>220176.73</v>
      </c>
      <c r="R15" s="10">
        <f t="shared" ref="R15:R19" si="12">+Q15+P15+J15</f>
        <v>233530.2257209075</v>
      </c>
    </row>
    <row r="16" spans="1:18" x14ac:dyDescent="0.3">
      <c r="A16" s="8">
        <v>44440</v>
      </c>
      <c r="B16" s="10">
        <v>459161.56000000006</v>
      </c>
      <c r="C16" s="10">
        <f t="shared" si="0"/>
        <v>1256767.82</v>
      </c>
      <c r="D16" s="10">
        <f t="shared" si="1"/>
        <v>10473</v>
      </c>
      <c r="E16" s="10">
        <v>512000</v>
      </c>
      <c r="F16" s="10">
        <f t="shared" si="2"/>
        <v>538000</v>
      </c>
      <c r="G16" s="10">
        <f t="shared" ref="G16:G19" si="13">+ROUND(F16/1/12,0)</f>
        <v>44833</v>
      </c>
      <c r="H16" s="10">
        <f t="shared" si="3"/>
        <v>971161.56</v>
      </c>
      <c r="I16" s="10">
        <f t="shared" si="4"/>
        <v>1794767.82</v>
      </c>
      <c r="J16" s="10">
        <f t="shared" si="5"/>
        <v>55306</v>
      </c>
      <c r="K16" s="10">
        <f t="shared" si="6"/>
        <v>67407</v>
      </c>
      <c r="L16" s="10">
        <f t="shared" si="7"/>
        <v>971161.56</v>
      </c>
      <c r="M16" s="10">
        <f t="shared" si="8"/>
        <v>257446.99791600002</v>
      </c>
      <c r="N16" s="10">
        <f t="shared" si="9"/>
        <v>485561.12650200003</v>
      </c>
      <c r="O16" s="10">
        <f t="shared" si="10"/>
        <v>1241799.693498</v>
      </c>
      <c r="P16" s="10">
        <f t="shared" si="11"/>
        <v>9662.71869988037</v>
      </c>
      <c r="Q16" s="10">
        <v>262302.93000000005</v>
      </c>
      <c r="R16" s="10">
        <f t="shared" si="12"/>
        <v>327271.6486998804</v>
      </c>
    </row>
    <row r="17" spans="1:18" x14ac:dyDescent="0.3">
      <c r="A17" s="8">
        <v>44470</v>
      </c>
      <c r="B17" s="10">
        <v>426229.33</v>
      </c>
      <c r="C17" s="10">
        <f t="shared" si="0"/>
        <v>1682997.1500000001</v>
      </c>
      <c r="D17" s="10">
        <f t="shared" si="1"/>
        <v>14025</v>
      </c>
      <c r="E17" s="10">
        <v>3000</v>
      </c>
      <c r="F17" s="10">
        <f t="shared" si="2"/>
        <v>541000</v>
      </c>
      <c r="G17" s="10">
        <f t="shared" si="13"/>
        <v>45083</v>
      </c>
      <c r="H17" s="10">
        <f t="shared" si="3"/>
        <v>429229.33</v>
      </c>
      <c r="I17" s="10">
        <f t="shared" si="4"/>
        <v>2223997.15</v>
      </c>
      <c r="J17" s="10">
        <f t="shared" si="5"/>
        <v>59108</v>
      </c>
      <c r="K17" s="10">
        <f t="shared" si="6"/>
        <v>126515</v>
      </c>
      <c r="L17" s="10">
        <f t="shared" si="7"/>
        <v>429229.33</v>
      </c>
      <c r="M17" s="10">
        <f t="shared" si="8"/>
        <v>104041.105863</v>
      </c>
      <c r="N17" s="10">
        <f t="shared" si="9"/>
        <v>589602.23236500006</v>
      </c>
      <c r="O17" s="10">
        <f t="shared" si="10"/>
        <v>1507879.9176349998</v>
      </c>
      <c r="P17" s="10">
        <f t="shared" si="11"/>
        <v>11733.147909115063</v>
      </c>
      <c r="Q17" s="10">
        <v>317607.58</v>
      </c>
      <c r="R17" s="10">
        <f t="shared" si="12"/>
        <v>388448.72790911508</v>
      </c>
    </row>
    <row r="18" spans="1:18" x14ac:dyDescent="0.3">
      <c r="A18" s="8">
        <v>44501</v>
      </c>
      <c r="B18" s="10">
        <v>805998.73</v>
      </c>
      <c r="C18" s="10">
        <f t="shared" si="0"/>
        <v>2488995.88</v>
      </c>
      <c r="D18" s="10">
        <f t="shared" si="1"/>
        <v>20742</v>
      </c>
      <c r="E18" s="10">
        <v>3000</v>
      </c>
      <c r="F18" s="10">
        <f t="shared" si="2"/>
        <v>544000</v>
      </c>
      <c r="G18" s="10">
        <f t="shared" si="13"/>
        <v>45333</v>
      </c>
      <c r="H18" s="10">
        <f t="shared" si="3"/>
        <v>808998.73</v>
      </c>
      <c r="I18" s="10">
        <f t="shared" si="4"/>
        <v>3032995.88</v>
      </c>
      <c r="J18" s="10">
        <f t="shared" si="5"/>
        <v>66075</v>
      </c>
      <c r="K18" s="10">
        <f t="shared" si="6"/>
        <v>192590</v>
      </c>
      <c r="L18" s="10">
        <f t="shared" si="7"/>
        <v>808998.73</v>
      </c>
      <c r="M18" s="10">
        <f t="shared" si="8"/>
        <v>208835.860503</v>
      </c>
      <c r="N18" s="10">
        <f t="shared" si="9"/>
        <v>798438.09286800004</v>
      </c>
      <c r="O18" s="10">
        <f t="shared" si="10"/>
        <v>2041967.7871319999</v>
      </c>
      <c r="P18" s="10">
        <f t="shared" si="11"/>
        <v>15889.004019395412</v>
      </c>
      <c r="Q18" s="10">
        <v>270170.80999999994</v>
      </c>
      <c r="R18" s="10">
        <f t="shared" si="12"/>
        <v>352134.81401939533</v>
      </c>
    </row>
    <row r="19" spans="1:18" ht="16.2" x14ac:dyDescent="0.45">
      <c r="A19" s="8">
        <v>44531</v>
      </c>
      <c r="B19" s="54">
        <v>1255424.8599999999</v>
      </c>
      <c r="C19" s="10">
        <f t="shared" si="0"/>
        <v>3744420.7399999998</v>
      </c>
      <c r="D19" s="20">
        <f t="shared" si="1"/>
        <v>31204</v>
      </c>
      <c r="E19" s="55">
        <v>3000</v>
      </c>
      <c r="F19" s="10">
        <f t="shared" si="2"/>
        <v>547000</v>
      </c>
      <c r="G19" s="20">
        <f t="shared" si="13"/>
        <v>45583</v>
      </c>
      <c r="H19" s="20">
        <f t="shared" si="3"/>
        <v>1258424.8599999999</v>
      </c>
      <c r="I19" s="10">
        <f t="shared" si="4"/>
        <v>4291420.74</v>
      </c>
      <c r="J19" s="20">
        <f t="shared" si="5"/>
        <v>76787</v>
      </c>
      <c r="K19" s="10">
        <f t="shared" si="6"/>
        <v>269377</v>
      </c>
      <c r="L19" s="20">
        <f t="shared" si="7"/>
        <v>1258424.8599999999</v>
      </c>
      <c r="M19" s="20">
        <f t="shared" si="8"/>
        <v>332158.40244599996</v>
      </c>
      <c r="N19" s="10">
        <f t="shared" si="9"/>
        <v>1130596.4953139999</v>
      </c>
      <c r="O19" s="10">
        <f t="shared" si="10"/>
        <v>2891447.244686</v>
      </c>
      <c r="P19" s="20">
        <f t="shared" si="11"/>
        <v>22498.991993019026</v>
      </c>
      <c r="Q19" s="55">
        <v>217680.44000000003</v>
      </c>
      <c r="R19" s="20">
        <f t="shared" si="12"/>
        <v>316966.43199301907</v>
      </c>
    </row>
    <row r="20" spans="1:18" x14ac:dyDescent="0.3">
      <c r="M20" s="10"/>
    </row>
    <row r="21" spans="1:18" x14ac:dyDescent="0.3">
      <c r="A21" s="9" t="s">
        <v>3</v>
      </c>
      <c r="B21" s="12">
        <f>SUM(B14:B19)</f>
        <v>3744420.7399999998</v>
      </c>
      <c r="D21" s="12">
        <f>SUM(D14:D19)</f>
        <v>86378</v>
      </c>
      <c r="E21" s="12">
        <f>SUM(E14:E19)</f>
        <v>547000</v>
      </c>
      <c r="G21" s="12">
        <f>SUM(G14:G19)</f>
        <v>182999</v>
      </c>
      <c r="H21" s="12">
        <f>SUM(H14:H19)</f>
        <v>4291420.74</v>
      </c>
      <c r="I21" s="12"/>
      <c r="J21" s="12">
        <f>SUM(J14:J19)</f>
        <v>269377</v>
      </c>
      <c r="K21" s="12"/>
      <c r="L21" s="12">
        <f>SUM(L14:L19)</f>
        <v>4291420.74</v>
      </c>
      <c r="M21" s="12">
        <f>SUM(M14:M19)</f>
        <v>1130596.4953139999</v>
      </c>
      <c r="P21" s="12">
        <f>SUM(P14:P19)</f>
        <v>66511.582031032856</v>
      </c>
      <c r="Q21" s="12">
        <f>SUM(Q14:Q19)</f>
        <v>1399759.38</v>
      </c>
      <c r="R21" s="12">
        <f>SUM(R14:R19)</f>
        <v>1735647.9620310329</v>
      </c>
    </row>
    <row r="23" spans="1:18" x14ac:dyDescent="0.3">
      <c r="A23" s="64" t="s">
        <v>44</v>
      </c>
    </row>
    <row r="24" spans="1:18" x14ac:dyDescent="0.3">
      <c r="B24" s="73" t="s">
        <v>17</v>
      </c>
      <c r="C24" s="73"/>
      <c r="D24" s="73"/>
      <c r="E24" s="73"/>
      <c r="F24" s="73"/>
      <c r="G24" s="73"/>
      <c r="H24" s="73"/>
      <c r="I24" s="73"/>
      <c r="J24" s="73"/>
      <c r="K24" s="2"/>
      <c r="L24" s="73" t="s">
        <v>18</v>
      </c>
      <c r="M24" s="73"/>
      <c r="N24" s="73"/>
    </row>
    <row r="25" spans="1:18" x14ac:dyDescent="0.3">
      <c r="C25" s="2" t="s">
        <v>19</v>
      </c>
      <c r="D25" s="2" t="s">
        <v>20</v>
      </c>
      <c r="F25" s="2" t="s">
        <v>19</v>
      </c>
      <c r="G25" s="2" t="s">
        <v>20</v>
      </c>
    </row>
    <row r="26" spans="1:18" ht="15" thickBot="1" x14ac:dyDescent="0.35">
      <c r="B26" s="2" t="s">
        <v>20</v>
      </c>
      <c r="C26" s="2" t="s">
        <v>20</v>
      </c>
      <c r="D26" s="2" t="s">
        <v>21</v>
      </c>
      <c r="E26" s="2" t="s">
        <v>22</v>
      </c>
      <c r="F26" s="2" t="s">
        <v>22</v>
      </c>
      <c r="G26" s="2" t="s">
        <v>23</v>
      </c>
      <c r="K26" s="2" t="s">
        <v>24</v>
      </c>
      <c r="N26" s="3" t="s">
        <v>25</v>
      </c>
    </row>
    <row r="27" spans="1:18" ht="15" thickBot="1" x14ac:dyDescent="0.35">
      <c r="B27" s="2" t="s">
        <v>21</v>
      </c>
      <c r="C27" s="2" t="s">
        <v>21</v>
      </c>
      <c r="D27" s="2" t="s">
        <v>26</v>
      </c>
      <c r="E27" s="2" t="s">
        <v>27</v>
      </c>
      <c r="F27" s="2" t="s">
        <v>27</v>
      </c>
      <c r="G27" s="2" t="s">
        <v>28</v>
      </c>
      <c r="I27" s="2" t="s">
        <v>19</v>
      </c>
      <c r="J27" s="2" t="s">
        <v>3</v>
      </c>
      <c r="K27" s="2" t="s">
        <v>3</v>
      </c>
      <c r="L27" s="2" t="s">
        <v>29</v>
      </c>
      <c r="M27" s="2" t="s">
        <v>30</v>
      </c>
      <c r="N27" s="2" t="s">
        <v>31</v>
      </c>
      <c r="P27" s="16">
        <v>7.7812216821069235E-3</v>
      </c>
      <c r="Q27" s="15" t="s">
        <v>32</v>
      </c>
    </row>
    <row r="28" spans="1:18" x14ac:dyDescent="0.3">
      <c r="B28" s="2" t="s">
        <v>26</v>
      </c>
      <c r="C28" s="2" t="s">
        <v>26</v>
      </c>
      <c r="D28" s="2" t="s">
        <v>33</v>
      </c>
      <c r="E28" s="2" t="s">
        <v>28</v>
      </c>
      <c r="F28" s="2" t="s">
        <v>28</v>
      </c>
      <c r="G28" s="2" t="s">
        <v>34</v>
      </c>
      <c r="H28" s="2" t="s">
        <v>3</v>
      </c>
      <c r="I28" s="2" t="s">
        <v>3</v>
      </c>
      <c r="J28" s="2" t="s">
        <v>34</v>
      </c>
      <c r="K28" s="2" t="s">
        <v>34</v>
      </c>
      <c r="L28" s="2" t="s">
        <v>34</v>
      </c>
      <c r="M28" s="2" t="s">
        <v>35</v>
      </c>
      <c r="N28" s="2" t="s">
        <v>35</v>
      </c>
      <c r="O28" s="2" t="s">
        <v>36</v>
      </c>
      <c r="P28" s="2" t="s">
        <v>37</v>
      </c>
      <c r="Q28" s="2" t="s">
        <v>38</v>
      </c>
      <c r="R28" s="2" t="s">
        <v>39</v>
      </c>
    </row>
    <row r="29" spans="1:18" x14ac:dyDescent="0.3">
      <c r="A29" s="69" t="s">
        <v>9</v>
      </c>
      <c r="B29" s="17" t="s">
        <v>40</v>
      </c>
      <c r="C29" s="17" t="s">
        <v>40</v>
      </c>
      <c r="D29" s="17" t="s">
        <v>41</v>
      </c>
      <c r="E29" s="17" t="s">
        <v>40</v>
      </c>
      <c r="F29" s="17" t="s">
        <v>40</v>
      </c>
      <c r="G29" s="17" t="s">
        <v>41</v>
      </c>
      <c r="H29" s="17" t="s">
        <v>40</v>
      </c>
      <c r="I29" s="17" t="s">
        <v>40</v>
      </c>
      <c r="J29" s="17" t="s">
        <v>41</v>
      </c>
      <c r="K29" s="17" t="s">
        <v>41</v>
      </c>
      <c r="L29" s="17" t="s">
        <v>41</v>
      </c>
      <c r="M29" s="17" t="s">
        <v>29</v>
      </c>
      <c r="N29" s="17" t="s">
        <v>29</v>
      </c>
      <c r="O29" s="17" t="s">
        <v>40</v>
      </c>
      <c r="P29" s="17" t="s">
        <v>42</v>
      </c>
      <c r="Q29" s="17" t="s">
        <v>41</v>
      </c>
      <c r="R29" s="17" t="s">
        <v>43</v>
      </c>
    </row>
    <row r="30" spans="1:18" x14ac:dyDescent="0.3">
      <c r="A30" s="8">
        <v>44562</v>
      </c>
      <c r="B30" s="10">
        <v>2176237.3975</v>
      </c>
      <c r="C30" s="65">
        <f>+C19+B30</f>
        <v>5920658.1374999993</v>
      </c>
      <c r="D30" s="10">
        <f>+ROUND(C30/10/12,0)</f>
        <v>49339</v>
      </c>
      <c r="E30" s="65">
        <f>H62</f>
        <v>40711.602500000001</v>
      </c>
      <c r="F30" s="10">
        <f>F19+E30</f>
        <v>587711.60250000004</v>
      </c>
      <c r="G30" s="65">
        <f>Z70</f>
        <v>48975.966874999998</v>
      </c>
      <c r="H30" s="10">
        <f>E30+B30</f>
        <v>2216949</v>
      </c>
      <c r="I30" s="10">
        <f>+H30+I19</f>
        <v>6508369.7400000002</v>
      </c>
      <c r="J30" s="10">
        <f>+G30+D30</f>
        <v>98314.966874999998</v>
      </c>
      <c r="K30" s="10">
        <f>+K19+J30</f>
        <v>367691.96687499998</v>
      </c>
      <c r="L30" s="10">
        <f>+H30</f>
        <v>2216949</v>
      </c>
      <c r="M30" s="10">
        <f>(L30-J30)*0.2811</f>
        <v>595548.0267114375</v>
      </c>
      <c r="N30" s="10">
        <f>N19+M30</f>
        <v>1726144.5220254376</v>
      </c>
      <c r="O30" s="10">
        <f>+I30-K30-N30</f>
        <v>4414533.2510995623</v>
      </c>
      <c r="P30" s="10">
        <f>O30*$P$10</f>
        <v>34350.461849837884</v>
      </c>
      <c r="Q30" s="10">
        <v>660536.06878605078</v>
      </c>
      <c r="R30" s="10">
        <f t="shared" ref="R30:R35" si="14">+Q30+P30+J30</f>
        <v>793201.49751088873</v>
      </c>
    </row>
    <row r="31" spans="1:18" x14ac:dyDescent="0.3">
      <c r="A31" s="8">
        <v>44593</v>
      </c>
      <c r="B31" s="10">
        <v>2176237.3975</v>
      </c>
      <c r="C31" s="65">
        <f>+C30+B31</f>
        <v>8096895.5349999992</v>
      </c>
      <c r="D31" s="10">
        <f>+ROUND(C31/10/12,0)</f>
        <v>67474</v>
      </c>
      <c r="E31" s="65">
        <f>I62</f>
        <v>40711.602500000001</v>
      </c>
      <c r="F31" s="10">
        <f>F30+E31</f>
        <v>628423.20500000007</v>
      </c>
      <c r="G31" s="65">
        <f>Z71</f>
        <v>52368.600416666668</v>
      </c>
      <c r="H31" s="10">
        <f>E31+B31</f>
        <v>2216949</v>
      </c>
      <c r="I31" s="10">
        <f>+H31+I30</f>
        <v>8725318.7400000002</v>
      </c>
      <c r="J31" s="10">
        <f>+G31+D31</f>
        <v>119842.60041666667</v>
      </c>
      <c r="K31" s="10">
        <f>+K30+J31</f>
        <v>487534.56729166664</v>
      </c>
      <c r="L31" s="10">
        <f>+H31</f>
        <v>2216949</v>
      </c>
      <c r="M31" s="10">
        <f>(L31-J31)*0.2811</f>
        <v>589496.60892287502</v>
      </c>
      <c r="N31" s="10">
        <f>N30+M31</f>
        <v>2315641.1309483126</v>
      </c>
      <c r="O31" s="10">
        <f>+I31-K31-N31</f>
        <v>5922143.0417600209</v>
      </c>
      <c r="P31" s="10">
        <f>O31*$P$10</f>
        <v>46081.507841081722</v>
      </c>
      <c r="Q31" s="10">
        <v>660536.06878605078</v>
      </c>
      <c r="R31" s="10">
        <f t="shared" si="14"/>
        <v>826460.17704379919</v>
      </c>
    </row>
    <row r="32" spans="1:18" x14ac:dyDescent="0.3">
      <c r="A32" s="8">
        <v>44621</v>
      </c>
      <c r="B32" s="10">
        <v>2176237.3975</v>
      </c>
      <c r="C32" s="65">
        <f>+C31+B32</f>
        <v>10273132.932499999</v>
      </c>
      <c r="D32" s="10">
        <f>+ROUND(C32/10/12,0)</f>
        <v>85609</v>
      </c>
      <c r="E32" s="65">
        <f>J62</f>
        <v>40711.602500000001</v>
      </c>
      <c r="F32" s="10">
        <f t="shared" ref="F32:F35" si="15">F31+E32</f>
        <v>669134.80750000011</v>
      </c>
      <c r="G32" s="65">
        <f>Z72</f>
        <v>55761.233958333338</v>
      </c>
      <c r="H32" s="10">
        <f>E32+B32</f>
        <v>2216949</v>
      </c>
      <c r="I32" s="10">
        <f>+H32+I31</f>
        <v>10942267.74</v>
      </c>
      <c r="J32" s="10">
        <f>+G32+D32</f>
        <v>141370.23395833332</v>
      </c>
      <c r="K32" s="10">
        <f>+K31+J32</f>
        <v>628904.80125000002</v>
      </c>
      <c r="L32" s="10">
        <f>+H32</f>
        <v>2216949</v>
      </c>
      <c r="M32" s="10">
        <f>(L32-J32)*0.2811</f>
        <v>583445.19113431254</v>
      </c>
      <c r="N32" s="10">
        <f>N31+M32</f>
        <v>2899086.3220826252</v>
      </c>
      <c r="O32" s="10">
        <f>+I32-K32-N32</f>
        <v>7414276.616667375</v>
      </c>
      <c r="P32" s="10">
        <f>O32*$P$10</f>
        <v>57692.129966750545</v>
      </c>
      <c r="Q32" s="10">
        <v>660536.06878605078</v>
      </c>
      <c r="R32" s="10">
        <f t="shared" si="14"/>
        <v>859598.43271113466</v>
      </c>
    </row>
    <row r="33" spans="1:18" x14ac:dyDescent="0.3">
      <c r="A33" s="8">
        <v>44652</v>
      </c>
      <c r="B33" s="10">
        <v>2176237.3975</v>
      </c>
      <c r="C33" s="65">
        <f>+C32+B33</f>
        <v>12449370.329999998</v>
      </c>
      <c r="D33" s="10">
        <f>+ROUND(C33/10/12,0)</f>
        <v>103745</v>
      </c>
      <c r="E33" s="65">
        <f>K62</f>
        <v>40711.602500000001</v>
      </c>
      <c r="F33" s="10">
        <f t="shared" si="15"/>
        <v>709846.41000000015</v>
      </c>
      <c r="G33" s="65">
        <f>Z73</f>
        <v>59153.867500000008</v>
      </c>
      <c r="H33" s="10">
        <f>E33+B33</f>
        <v>2216949</v>
      </c>
      <c r="I33" s="10">
        <f>+H33+I32</f>
        <v>13159216.74</v>
      </c>
      <c r="J33" s="10">
        <f>+G33+D33</f>
        <v>162898.86749999999</v>
      </c>
      <c r="K33" s="10">
        <f>+K32+J33</f>
        <v>791803.66874999995</v>
      </c>
      <c r="L33" s="10">
        <f>+H33</f>
        <v>2216949</v>
      </c>
      <c r="M33" s="10">
        <f>(L33-J33)*0.2811</f>
        <v>577393.49224575004</v>
      </c>
      <c r="N33" s="10">
        <f>N32+M33</f>
        <v>3476479.8143283753</v>
      </c>
      <c r="O33" s="10">
        <f>+I33-K33-N33</f>
        <v>8890933.2569216266</v>
      </c>
      <c r="P33" s="10">
        <f>O33*$P$10</f>
        <v>69182.322632924086</v>
      </c>
      <c r="Q33" s="10">
        <v>660536.06878605078</v>
      </c>
      <c r="R33" s="10">
        <f t="shared" si="14"/>
        <v>892617.25891897478</v>
      </c>
    </row>
    <row r="34" spans="1:18" x14ac:dyDescent="0.3">
      <c r="A34" s="8">
        <v>44682</v>
      </c>
      <c r="B34" s="10">
        <v>2176237.3975</v>
      </c>
      <c r="C34" s="65">
        <f>+C33+B34</f>
        <v>14625607.727499999</v>
      </c>
      <c r="D34" s="10">
        <f t="shared" ref="D34:D35" si="16">+ROUND(C34/10/12,0)</f>
        <v>121880</v>
      </c>
      <c r="E34" s="65">
        <f>L62</f>
        <v>40711.602500000001</v>
      </c>
      <c r="F34" s="10">
        <f t="shared" si="15"/>
        <v>750558.01250000019</v>
      </c>
      <c r="G34" s="65">
        <f t="shared" ref="G34:G35" si="17">Z74</f>
        <v>62546.501041666677</v>
      </c>
      <c r="H34" s="10">
        <f t="shared" ref="H34:H35" si="18">E34+B34</f>
        <v>2216949</v>
      </c>
      <c r="I34" s="10">
        <f>+H34+I33</f>
        <v>15376165.74</v>
      </c>
      <c r="J34" s="10">
        <f t="shared" ref="J34:J35" si="19">+G34+D34</f>
        <v>184426.50104166666</v>
      </c>
      <c r="K34" s="10">
        <f>+K33+J34</f>
        <v>976230.16979166656</v>
      </c>
      <c r="L34" s="10">
        <f t="shared" ref="L34:L35" si="20">+H34</f>
        <v>2216949</v>
      </c>
      <c r="M34" s="10">
        <f t="shared" ref="M34:M35" si="21">(L34-J34)*0.2811</f>
        <v>571342.07445718755</v>
      </c>
      <c r="N34" s="10">
        <f>N33+M34</f>
        <v>4047821.8887855629</v>
      </c>
      <c r="O34" s="10">
        <f t="shared" ref="O34:O35" si="22">+I34-K34-N34</f>
        <v>10352113.68142277</v>
      </c>
      <c r="P34" s="10">
        <f t="shared" ref="P34:P35" si="23">O34*$P$10</f>
        <v>80552.091433522583</v>
      </c>
      <c r="Q34" s="10">
        <v>660536.06878605078</v>
      </c>
      <c r="R34" s="10">
        <f t="shared" si="14"/>
        <v>925514.66126124002</v>
      </c>
    </row>
    <row r="35" spans="1:18" ht="16.2" x14ac:dyDescent="0.45">
      <c r="A35" s="8">
        <v>44713</v>
      </c>
      <c r="B35" s="20">
        <v>2176237.3975</v>
      </c>
      <c r="C35" s="65">
        <f t="shared" ref="C35" si="24">+C34+B35</f>
        <v>16801845.125</v>
      </c>
      <c r="D35" s="20">
        <f t="shared" si="16"/>
        <v>140015</v>
      </c>
      <c r="E35" s="68">
        <f>M62</f>
        <v>40711.602500000001</v>
      </c>
      <c r="F35" s="10">
        <f t="shared" si="15"/>
        <v>791269.61500000022</v>
      </c>
      <c r="G35" s="68">
        <f t="shared" si="17"/>
        <v>65939.134583333347</v>
      </c>
      <c r="H35" s="20">
        <f t="shared" si="18"/>
        <v>2216949</v>
      </c>
      <c r="I35" s="10">
        <f t="shared" ref="I35" si="25">+H35+I34</f>
        <v>17593114.740000002</v>
      </c>
      <c r="J35" s="20">
        <f t="shared" si="19"/>
        <v>205954.13458333333</v>
      </c>
      <c r="K35" s="10">
        <f t="shared" ref="K35" si="26">+K34+J35</f>
        <v>1182184.3043749998</v>
      </c>
      <c r="L35" s="20">
        <f t="shared" si="20"/>
        <v>2216949</v>
      </c>
      <c r="M35" s="20">
        <f t="shared" si="21"/>
        <v>565290.65666862507</v>
      </c>
      <c r="N35" s="10">
        <f t="shared" ref="N35" si="27">N34+M35</f>
        <v>4613112.5454541883</v>
      </c>
      <c r="O35" s="10">
        <f t="shared" si="22"/>
        <v>11797817.890170813</v>
      </c>
      <c r="P35" s="20">
        <f t="shared" si="23"/>
        <v>91801.436368546085</v>
      </c>
      <c r="Q35" s="20">
        <v>660536.06878605078</v>
      </c>
      <c r="R35" s="20">
        <f t="shared" si="14"/>
        <v>958291.63973793015</v>
      </c>
    </row>
    <row r="37" spans="1:18" x14ac:dyDescent="0.3">
      <c r="A37" t="s">
        <v>3</v>
      </c>
      <c r="B37" s="12">
        <f>SUM(B21:B35)</f>
        <v>16801845.125</v>
      </c>
      <c r="D37" s="12">
        <f>SUM(D21:D35)</f>
        <v>654440</v>
      </c>
      <c r="E37" s="12">
        <f>SUM(E21:E35)</f>
        <v>791269.61500000022</v>
      </c>
      <c r="G37" s="12">
        <f>SUM(G21:G35)</f>
        <v>527744.30437499995</v>
      </c>
      <c r="H37" s="12">
        <f>SUM(H21:H35)</f>
        <v>17593114.740000002</v>
      </c>
      <c r="J37" s="12">
        <f>SUM(J21:J35)</f>
        <v>1182184.3043749998</v>
      </c>
      <c r="L37" s="12">
        <f>SUM(L21:L35)</f>
        <v>17593114.740000002</v>
      </c>
      <c r="M37" s="12">
        <f>SUM(M21:M35)</f>
        <v>4613112.5454541883</v>
      </c>
      <c r="P37" s="12">
        <f>SUM(P21:P35)</f>
        <v>446171.53990491747</v>
      </c>
      <c r="Q37" s="12">
        <f>SUM(Q21:Q35)</f>
        <v>5362975.7927163048</v>
      </c>
      <c r="R37" s="12">
        <f t="shared" ref="R37" si="28">SUM(R21:R35)</f>
        <v>6991331.6292150002</v>
      </c>
    </row>
    <row r="59" spans="1:26" x14ac:dyDescent="0.3">
      <c r="A59" t="s">
        <v>45</v>
      </c>
    </row>
    <row r="61" spans="1:26" x14ac:dyDescent="0.3">
      <c r="B61" s="8">
        <v>44378</v>
      </c>
      <c r="C61" s="8">
        <v>44409</v>
      </c>
      <c r="D61" s="8">
        <v>44440</v>
      </c>
      <c r="E61" s="8">
        <v>44470</v>
      </c>
      <c r="F61" s="8">
        <v>44501</v>
      </c>
      <c r="G61" s="8">
        <v>44531</v>
      </c>
      <c r="H61" s="8">
        <v>44562</v>
      </c>
      <c r="I61" s="8">
        <v>44593</v>
      </c>
      <c r="J61" s="8">
        <v>44621</v>
      </c>
      <c r="K61" s="8">
        <v>44652</v>
      </c>
      <c r="L61" s="8">
        <v>44682</v>
      </c>
      <c r="M61" s="8">
        <v>44713</v>
      </c>
      <c r="N61" s="8">
        <v>44743</v>
      </c>
      <c r="O61" s="8">
        <v>44774</v>
      </c>
      <c r="P61" s="8">
        <v>44805</v>
      </c>
      <c r="Q61" s="8">
        <v>44835</v>
      </c>
      <c r="R61" s="8">
        <v>44866</v>
      </c>
      <c r="S61" s="8">
        <v>44896</v>
      </c>
      <c r="T61" s="8">
        <v>44927</v>
      </c>
      <c r="U61" s="8">
        <v>44958</v>
      </c>
      <c r="V61" s="8">
        <v>44986</v>
      </c>
      <c r="W61" s="8">
        <v>45017</v>
      </c>
      <c r="X61" s="8">
        <v>45047</v>
      </c>
      <c r="Y61" s="8">
        <v>45078</v>
      </c>
      <c r="Z61" t="s">
        <v>3</v>
      </c>
    </row>
    <row r="62" spans="1:26" x14ac:dyDescent="0.3">
      <c r="A62" t="s">
        <v>40</v>
      </c>
      <c r="B62" s="10">
        <v>0</v>
      </c>
      <c r="C62" s="10">
        <v>26000</v>
      </c>
      <c r="D62" s="10">
        <v>512000</v>
      </c>
      <c r="E62" s="10">
        <v>3000</v>
      </c>
      <c r="F62" s="10">
        <v>3000</v>
      </c>
      <c r="G62" s="10">
        <v>3000</v>
      </c>
      <c r="H62" s="10">
        <f>488539.23/12</f>
        <v>40711.602500000001</v>
      </c>
      <c r="I62" s="10">
        <f t="shared" ref="I62:M62" si="29">488539.23/12</f>
        <v>40711.602500000001</v>
      </c>
      <c r="J62" s="10">
        <f t="shared" si="29"/>
        <v>40711.602500000001</v>
      </c>
      <c r="K62" s="10">
        <f t="shared" si="29"/>
        <v>40711.602500000001</v>
      </c>
      <c r="L62" s="10">
        <f t="shared" si="29"/>
        <v>40711.602500000001</v>
      </c>
      <c r="M62" s="10">
        <f t="shared" si="29"/>
        <v>40711.602500000001</v>
      </c>
      <c r="N62" s="10">
        <f>1839239.55/12</f>
        <v>153269.96249999999</v>
      </c>
      <c r="O62" s="10">
        <f t="shared" ref="O62:Y62" si="30">1839239.55/12</f>
        <v>153269.96249999999</v>
      </c>
      <c r="P62" s="10">
        <f t="shared" si="30"/>
        <v>153269.96249999999</v>
      </c>
      <c r="Q62" s="10">
        <f t="shared" si="30"/>
        <v>153269.96249999999</v>
      </c>
      <c r="R62" s="10">
        <f t="shared" si="30"/>
        <v>153269.96249999999</v>
      </c>
      <c r="S62" s="10">
        <f t="shared" si="30"/>
        <v>153269.96249999999</v>
      </c>
      <c r="T62" s="10">
        <f t="shared" si="30"/>
        <v>153269.96249999999</v>
      </c>
      <c r="U62" s="10">
        <f t="shared" si="30"/>
        <v>153269.96249999999</v>
      </c>
      <c r="V62" s="10">
        <f t="shared" si="30"/>
        <v>153269.96249999999</v>
      </c>
      <c r="W62" s="10">
        <f t="shared" si="30"/>
        <v>153269.96249999999</v>
      </c>
      <c r="X62" s="10">
        <f t="shared" si="30"/>
        <v>153269.96249999999</v>
      </c>
      <c r="Y62" s="10">
        <f t="shared" si="30"/>
        <v>153269.96249999999</v>
      </c>
      <c r="Z62" s="65">
        <f>SUM(B62:Y62)</f>
        <v>2630509.1649999996</v>
      </c>
    </row>
    <row r="64" spans="1:26" x14ac:dyDescent="0.3">
      <c r="A64" s="8">
        <v>44378</v>
      </c>
      <c r="B64" s="65">
        <f t="shared" ref="B64:B75" si="31">B$62/12</f>
        <v>0</v>
      </c>
      <c r="Z64" s="65">
        <f>SUM(B64:Y64)</f>
        <v>0</v>
      </c>
    </row>
    <row r="65" spans="1:26" x14ac:dyDescent="0.3">
      <c r="A65" s="8">
        <v>44409</v>
      </c>
      <c r="B65" s="65">
        <f t="shared" si="31"/>
        <v>0</v>
      </c>
      <c r="C65" s="65">
        <f t="shared" ref="C65:C76" si="32">C$62/12</f>
        <v>2166.6666666666665</v>
      </c>
      <c r="Z65" s="65">
        <f t="shared" ref="Z65:Z87" si="33">SUM(B65:Y65)</f>
        <v>2166.6666666666665</v>
      </c>
    </row>
    <row r="66" spans="1:26" x14ac:dyDescent="0.3">
      <c r="A66" s="8">
        <v>44440</v>
      </c>
      <c r="B66" s="65">
        <f t="shared" si="31"/>
        <v>0</v>
      </c>
      <c r="C66" s="65">
        <f t="shared" si="32"/>
        <v>2166.6666666666665</v>
      </c>
      <c r="D66" s="65">
        <f t="shared" ref="D66:D77" si="34">D$62/12</f>
        <v>42666.666666666664</v>
      </c>
      <c r="Z66" s="65">
        <f t="shared" si="33"/>
        <v>44833.333333333328</v>
      </c>
    </row>
    <row r="67" spans="1:26" x14ac:dyDescent="0.3">
      <c r="A67" s="8">
        <v>44470</v>
      </c>
      <c r="B67" s="65">
        <f t="shared" si="31"/>
        <v>0</v>
      </c>
      <c r="C67" s="65">
        <f t="shared" si="32"/>
        <v>2166.6666666666665</v>
      </c>
      <c r="D67" s="65">
        <f t="shared" si="34"/>
        <v>42666.666666666664</v>
      </c>
      <c r="E67" s="65">
        <f t="shared" ref="E67:E78" si="35">E$62/12</f>
        <v>250</v>
      </c>
      <c r="Z67" s="65">
        <f t="shared" si="33"/>
        <v>45083.333333333328</v>
      </c>
    </row>
    <row r="68" spans="1:26" x14ac:dyDescent="0.3">
      <c r="A68" s="8">
        <v>44501</v>
      </c>
      <c r="B68" s="65">
        <f t="shared" si="31"/>
        <v>0</v>
      </c>
      <c r="C68" s="65">
        <f t="shared" si="32"/>
        <v>2166.6666666666665</v>
      </c>
      <c r="D68" s="65">
        <f t="shared" si="34"/>
        <v>42666.666666666664</v>
      </c>
      <c r="E68" s="65">
        <f t="shared" si="35"/>
        <v>250</v>
      </c>
      <c r="F68" s="65">
        <f t="shared" ref="F68:F79" si="36">F$62/12</f>
        <v>250</v>
      </c>
      <c r="Z68" s="65">
        <f t="shared" si="33"/>
        <v>45333.333333333328</v>
      </c>
    </row>
    <row r="69" spans="1:26" x14ac:dyDescent="0.3">
      <c r="A69" s="8">
        <v>44531</v>
      </c>
      <c r="B69" s="65">
        <f t="shared" si="31"/>
        <v>0</v>
      </c>
      <c r="C69" s="65">
        <f t="shared" si="32"/>
        <v>2166.6666666666665</v>
      </c>
      <c r="D69" s="65">
        <f t="shared" si="34"/>
        <v>42666.666666666664</v>
      </c>
      <c r="E69" s="65">
        <f t="shared" si="35"/>
        <v>250</v>
      </c>
      <c r="F69" s="65">
        <f t="shared" si="36"/>
        <v>250</v>
      </c>
      <c r="G69" s="65">
        <f t="shared" ref="G69:G80" si="37">G$62/12</f>
        <v>250</v>
      </c>
      <c r="Z69" s="65">
        <f t="shared" si="33"/>
        <v>45583.333333333328</v>
      </c>
    </row>
    <row r="70" spans="1:26" x14ac:dyDescent="0.3">
      <c r="A70" s="8">
        <v>44562</v>
      </c>
      <c r="B70" s="65">
        <f t="shared" si="31"/>
        <v>0</v>
      </c>
      <c r="C70" s="65">
        <f t="shared" si="32"/>
        <v>2166.6666666666665</v>
      </c>
      <c r="D70" s="65">
        <f t="shared" si="34"/>
        <v>42666.666666666664</v>
      </c>
      <c r="E70" s="65">
        <f t="shared" si="35"/>
        <v>250</v>
      </c>
      <c r="F70" s="65">
        <f t="shared" si="36"/>
        <v>250</v>
      </c>
      <c r="G70" s="65">
        <f t="shared" si="37"/>
        <v>250</v>
      </c>
      <c r="H70" s="65">
        <f t="shared" ref="H70:H81" si="38">H$62/12</f>
        <v>3392.6335416666666</v>
      </c>
      <c r="Z70" s="65">
        <f t="shared" si="33"/>
        <v>48975.966874999998</v>
      </c>
    </row>
    <row r="71" spans="1:26" x14ac:dyDescent="0.3">
      <c r="A71" s="8">
        <v>44593</v>
      </c>
      <c r="B71" s="65">
        <f t="shared" si="31"/>
        <v>0</v>
      </c>
      <c r="C71" s="65">
        <f t="shared" si="32"/>
        <v>2166.6666666666665</v>
      </c>
      <c r="D71" s="65">
        <f t="shared" si="34"/>
        <v>42666.666666666664</v>
      </c>
      <c r="E71" s="65">
        <f t="shared" si="35"/>
        <v>250</v>
      </c>
      <c r="F71" s="65">
        <f t="shared" si="36"/>
        <v>250</v>
      </c>
      <c r="G71" s="65">
        <f t="shared" si="37"/>
        <v>250</v>
      </c>
      <c r="H71" s="65">
        <f t="shared" si="38"/>
        <v>3392.6335416666666</v>
      </c>
      <c r="I71" s="65">
        <f t="shared" ref="I71:I82" si="39">I$62/12</f>
        <v>3392.6335416666666</v>
      </c>
      <c r="Z71" s="65">
        <f t="shared" si="33"/>
        <v>52368.600416666668</v>
      </c>
    </row>
    <row r="72" spans="1:26" x14ac:dyDescent="0.3">
      <c r="A72" s="8">
        <v>44621</v>
      </c>
      <c r="B72" s="65">
        <f t="shared" si="31"/>
        <v>0</v>
      </c>
      <c r="C72" s="65">
        <f t="shared" si="32"/>
        <v>2166.6666666666665</v>
      </c>
      <c r="D72" s="65">
        <f t="shared" si="34"/>
        <v>42666.666666666664</v>
      </c>
      <c r="E72" s="65">
        <f t="shared" si="35"/>
        <v>250</v>
      </c>
      <c r="F72" s="65">
        <f t="shared" si="36"/>
        <v>250</v>
      </c>
      <c r="G72" s="65">
        <f t="shared" si="37"/>
        <v>250</v>
      </c>
      <c r="H72" s="65">
        <f t="shared" si="38"/>
        <v>3392.6335416666666</v>
      </c>
      <c r="I72" s="65">
        <f t="shared" si="39"/>
        <v>3392.6335416666666</v>
      </c>
      <c r="J72" s="65">
        <f t="shared" ref="J72:J83" si="40">J$62/12</f>
        <v>3392.6335416666666</v>
      </c>
      <c r="Z72" s="65">
        <f t="shared" si="33"/>
        <v>55761.233958333338</v>
      </c>
    </row>
    <row r="73" spans="1:26" x14ac:dyDescent="0.3">
      <c r="A73" s="8">
        <v>44652</v>
      </c>
      <c r="B73" s="65">
        <f t="shared" si="31"/>
        <v>0</v>
      </c>
      <c r="C73" s="65">
        <f t="shared" si="32"/>
        <v>2166.6666666666665</v>
      </c>
      <c r="D73" s="65">
        <f t="shared" si="34"/>
        <v>42666.666666666664</v>
      </c>
      <c r="E73" s="65">
        <f t="shared" si="35"/>
        <v>250</v>
      </c>
      <c r="F73" s="65">
        <f t="shared" si="36"/>
        <v>250</v>
      </c>
      <c r="G73" s="65">
        <f t="shared" si="37"/>
        <v>250</v>
      </c>
      <c r="H73" s="65">
        <f t="shared" si="38"/>
        <v>3392.6335416666666</v>
      </c>
      <c r="I73" s="65">
        <f t="shared" si="39"/>
        <v>3392.6335416666666</v>
      </c>
      <c r="J73" s="65">
        <f t="shared" si="40"/>
        <v>3392.6335416666666</v>
      </c>
      <c r="K73" s="65">
        <f t="shared" ref="K73:K84" si="41">K$62/12</f>
        <v>3392.6335416666666</v>
      </c>
      <c r="Z73" s="65">
        <f t="shared" si="33"/>
        <v>59153.867500000008</v>
      </c>
    </row>
    <row r="74" spans="1:26" x14ac:dyDescent="0.3">
      <c r="A74" s="8">
        <v>44682</v>
      </c>
      <c r="B74" s="65">
        <f t="shared" si="31"/>
        <v>0</v>
      </c>
      <c r="C74" s="65">
        <f t="shared" si="32"/>
        <v>2166.6666666666665</v>
      </c>
      <c r="D74" s="65">
        <f t="shared" si="34"/>
        <v>42666.666666666664</v>
      </c>
      <c r="E74" s="65">
        <f t="shared" si="35"/>
        <v>250</v>
      </c>
      <c r="F74" s="65">
        <f t="shared" si="36"/>
        <v>250</v>
      </c>
      <c r="G74" s="65">
        <f t="shared" si="37"/>
        <v>250</v>
      </c>
      <c r="H74" s="65">
        <f t="shared" si="38"/>
        <v>3392.6335416666666</v>
      </c>
      <c r="I74" s="65">
        <f t="shared" si="39"/>
        <v>3392.6335416666666</v>
      </c>
      <c r="J74" s="65">
        <f t="shared" si="40"/>
        <v>3392.6335416666666</v>
      </c>
      <c r="K74" s="65">
        <f t="shared" si="41"/>
        <v>3392.6335416666666</v>
      </c>
      <c r="L74" s="65">
        <f t="shared" ref="L74:L85" si="42">L$62/12</f>
        <v>3392.6335416666666</v>
      </c>
      <c r="Z74" s="65">
        <f t="shared" si="33"/>
        <v>62546.501041666677</v>
      </c>
    </row>
    <row r="75" spans="1:26" x14ac:dyDescent="0.3">
      <c r="A75" s="8">
        <v>44713</v>
      </c>
      <c r="B75" s="65">
        <f t="shared" si="31"/>
        <v>0</v>
      </c>
      <c r="C75" s="65">
        <f t="shared" si="32"/>
        <v>2166.6666666666665</v>
      </c>
      <c r="D75" s="65">
        <f t="shared" si="34"/>
        <v>42666.666666666664</v>
      </c>
      <c r="E75" s="65">
        <f t="shared" si="35"/>
        <v>250</v>
      </c>
      <c r="F75" s="65">
        <f t="shared" si="36"/>
        <v>250</v>
      </c>
      <c r="G75" s="65">
        <f t="shared" si="37"/>
        <v>250</v>
      </c>
      <c r="H75" s="65">
        <f t="shared" si="38"/>
        <v>3392.6335416666666</v>
      </c>
      <c r="I75" s="65">
        <f t="shared" si="39"/>
        <v>3392.6335416666666</v>
      </c>
      <c r="J75" s="65">
        <f t="shared" si="40"/>
        <v>3392.6335416666666</v>
      </c>
      <c r="K75" s="65">
        <f t="shared" si="41"/>
        <v>3392.6335416666666</v>
      </c>
      <c r="L75" s="65">
        <f t="shared" si="42"/>
        <v>3392.6335416666666</v>
      </c>
      <c r="M75" s="65">
        <f t="shared" ref="M75:M86" si="43">M$62/12</f>
        <v>3392.6335416666666</v>
      </c>
      <c r="Z75" s="65">
        <f t="shared" si="33"/>
        <v>65939.134583333347</v>
      </c>
    </row>
    <row r="76" spans="1:26" x14ac:dyDescent="0.3">
      <c r="A76" s="8">
        <v>44743</v>
      </c>
      <c r="C76" s="65">
        <f t="shared" si="32"/>
        <v>2166.6666666666665</v>
      </c>
      <c r="D76" s="65">
        <f t="shared" si="34"/>
        <v>42666.666666666664</v>
      </c>
      <c r="E76" s="65">
        <f t="shared" si="35"/>
        <v>250</v>
      </c>
      <c r="F76" s="65">
        <f t="shared" si="36"/>
        <v>250</v>
      </c>
      <c r="G76" s="65">
        <f t="shared" si="37"/>
        <v>250</v>
      </c>
      <c r="H76" s="65">
        <f t="shared" si="38"/>
        <v>3392.6335416666666</v>
      </c>
      <c r="I76" s="65">
        <f t="shared" si="39"/>
        <v>3392.6335416666666</v>
      </c>
      <c r="J76" s="65">
        <f t="shared" si="40"/>
        <v>3392.6335416666666</v>
      </c>
      <c r="K76" s="65">
        <f t="shared" si="41"/>
        <v>3392.6335416666666</v>
      </c>
      <c r="L76" s="65">
        <f t="shared" si="42"/>
        <v>3392.6335416666666</v>
      </c>
      <c r="M76" s="65">
        <f t="shared" si="43"/>
        <v>3392.6335416666666</v>
      </c>
      <c r="N76" s="65">
        <f t="shared" ref="N76:N87" si="44">N$62/12</f>
        <v>12772.496874999999</v>
      </c>
      <c r="Z76" s="65">
        <f t="shared" si="33"/>
        <v>78711.631458333344</v>
      </c>
    </row>
    <row r="77" spans="1:26" x14ac:dyDescent="0.3">
      <c r="A77" s="8">
        <v>44774</v>
      </c>
      <c r="D77" s="65">
        <f t="shared" si="34"/>
        <v>42666.666666666664</v>
      </c>
      <c r="E77" s="65">
        <f t="shared" si="35"/>
        <v>250</v>
      </c>
      <c r="F77" s="65">
        <f t="shared" si="36"/>
        <v>250</v>
      </c>
      <c r="G77" s="65">
        <f t="shared" si="37"/>
        <v>250</v>
      </c>
      <c r="H77" s="65">
        <f t="shared" si="38"/>
        <v>3392.6335416666666</v>
      </c>
      <c r="I77" s="65">
        <f t="shared" si="39"/>
        <v>3392.6335416666666</v>
      </c>
      <c r="J77" s="65">
        <f t="shared" si="40"/>
        <v>3392.6335416666666</v>
      </c>
      <c r="K77" s="65">
        <f t="shared" si="41"/>
        <v>3392.6335416666666</v>
      </c>
      <c r="L77" s="65">
        <f t="shared" si="42"/>
        <v>3392.6335416666666</v>
      </c>
      <c r="M77" s="65">
        <f t="shared" si="43"/>
        <v>3392.6335416666666</v>
      </c>
      <c r="N77" s="65">
        <f t="shared" si="44"/>
        <v>12772.496874999999</v>
      </c>
      <c r="O77" s="65">
        <f t="shared" ref="O77:O87" si="45">O$62/12</f>
        <v>12772.496874999999</v>
      </c>
      <c r="Z77" s="65">
        <f t="shared" si="33"/>
        <v>89317.461666666684</v>
      </c>
    </row>
    <row r="78" spans="1:26" x14ac:dyDescent="0.3">
      <c r="A78" s="8">
        <v>44805</v>
      </c>
      <c r="E78" s="65">
        <f t="shared" si="35"/>
        <v>250</v>
      </c>
      <c r="F78" s="65">
        <f t="shared" si="36"/>
        <v>250</v>
      </c>
      <c r="G78" s="65">
        <f t="shared" si="37"/>
        <v>250</v>
      </c>
      <c r="H78" s="65">
        <f t="shared" si="38"/>
        <v>3392.6335416666666</v>
      </c>
      <c r="I78" s="65">
        <f t="shared" si="39"/>
        <v>3392.6335416666666</v>
      </c>
      <c r="J78" s="65">
        <f t="shared" si="40"/>
        <v>3392.6335416666666</v>
      </c>
      <c r="K78" s="65">
        <f t="shared" si="41"/>
        <v>3392.6335416666666</v>
      </c>
      <c r="L78" s="65">
        <f t="shared" si="42"/>
        <v>3392.6335416666666</v>
      </c>
      <c r="M78" s="65">
        <f t="shared" si="43"/>
        <v>3392.6335416666666</v>
      </c>
      <c r="N78" s="65">
        <f t="shared" si="44"/>
        <v>12772.496874999999</v>
      </c>
      <c r="O78" s="65">
        <f t="shared" si="45"/>
        <v>12772.496874999999</v>
      </c>
      <c r="P78" s="65">
        <f t="shared" ref="P78:P87" si="46">P$62/12</f>
        <v>12772.496874999999</v>
      </c>
      <c r="Z78" s="65">
        <f t="shared" si="33"/>
        <v>59423.291874999988</v>
      </c>
    </row>
    <row r="79" spans="1:26" x14ac:dyDescent="0.3">
      <c r="A79" s="8">
        <v>44835</v>
      </c>
      <c r="F79" s="65">
        <f t="shared" si="36"/>
        <v>250</v>
      </c>
      <c r="G79" s="65">
        <f t="shared" si="37"/>
        <v>250</v>
      </c>
      <c r="H79" s="65">
        <f t="shared" si="38"/>
        <v>3392.6335416666666</v>
      </c>
      <c r="I79" s="65">
        <f t="shared" si="39"/>
        <v>3392.6335416666666</v>
      </c>
      <c r="J79" s="65">
        <f t="shared" si="40"/>
        <v>3392.6335416666666</v>
      </c>
      <c r="K79" s="65">
        <f t="shared" si="41"/>
        <v>3392.6335416666666</v>
      </c>
      <c r="L79" s="65">
        <f t="shared" si="42"/>
        <v>3392.6335416666666</v>
      </c>
      <c r="M79" s="65">
        <f t="shared" si="43"/>
        <v>3392.6335416666666</v>
      </c>
      <c r="N79" s="65">
        <f t="shared" si="44"/>
        <v>12772.496874999999</v>
      </c>
      <c r="O79" s="65">
        <f t="shared" si="45"/>
        <v>12772.496874999999</v>
      </c>
      <c r="P79" s="65">
        <f t="shared" si="46"/>
        <v>12772.496874999999</v>
      </c>
      <c r="Q79" s="65">
        <f t="shared" ref="Q79:Q87" si="47">Q$62/12</f>
        <v>12772.496874999999</v>
      </c>
      <c r="Z79" s="65">
        <f t="shared" si="33"/>
        <v>71945.788749999992</v>
      </c>
    </row>
    <row r="80" spans="1:26" x14ac:dyDescent="0.3">
      <c r="A80" s="8">
        <v>44866</v>
      </c>
      <c r="G80" s="65">
        <f t="shared" si="37"/>
        <v>250</v>
      </c>
      <c r="H80" s="65">
        <f t="shared" si="38"/>
        <v>3392.6335416666666</v>
      </c>
      <c r="I80" s="65">
        <f t="shared" si="39"/>
        <v>3392.6335416666666</v>
      </c>
      <c r="J80" s="65">
        <f t="shared" si="40"/>
        <v>3392.6335416666666</v>
      </c>
      <c r="K80" s="65">
        <f t="shared" si="41"/>
        <v>3392.6335416666666</v>
      </c>
      <c r="L80" s="65">
        <f t="shared" si="42"/>
        <v>3392.6335416666666</v>
      </c>
      <c r="M80" s="65">
        <f t="shared" si="43"/>
        <v>3392.6335416666666</v>
      </c>
      <c r="N80" s="65">
        <f t="shared" si="44"/>
        <v>12772.496874999999</v>
      </c>
      <c r="O80" s="65">
        <f t="shared" si="45"/>
        <v>12772.496874999999</v>
      </c>
      <c r="P80" s="65">
        <f t="shared" si="46"/>
        <v>12772.496874999999</v>
      </c>
      <c r="Q80" s="65">
        <f t="shared" si="47"/>
        <v>12772.496874999999</v>
      </c>
      <c r="R80" s="65">
        <f t="shared" ref="R80:Y87" si="48">R$62/12</f>
        <v>12772.496874999999</v>
      </c>
      <c r="Z80" s="65">
        <f t="shared" si="33"/>
        <v>84468.28562499999</v>
      </c>
    </row>
    <row r="81" spans="1:27" x14ac:dyDescent="0.3">
      <c r="A81" s="8">
        <v>44896</v>
      </c>
      <c r="H81" s="65">
        <f t="shared" si="38"/>
        <v>3392.6335416666666</v>
      </c>
      <c r="I81" s="65">
        <f t="shared" si="39"/>
        <v>3392.6335416666666</v>
      </c>
      <c r="J81" s="65">
        <f t="shared" si="40"/>
        <v>3392.6335416666666</v>
      </c>
      <c r="K81" s="65">
        <f t="shared" si="41"/>
        <v>3392.6335416666666</v>
      </c>
      <c r="L81" s="65">
        <f t="shared" si="42"/>
        <v>3392.6335416666666</v>
      </c>
      <c r="M81" s="65">
        <f t="shared" si="43"/>
        <v>3392.6335416666666</v>
      </c>
      <c r="N81" s="65">
        <f t="shared" si="44"/>
        <v>12772.496874999999</v>
      </c>
      <c r="O81" s="65">
        <f t="shared" si="45"/>
        <v>12772.496874999999</v>
      </c>
      <c r="P81" s="65">
        <f t="shared" si="46"/>
        <v>12772.496874999999</v>
      </c>
      <c r="Q81" s="65">
        <f t="shared" si="47"/>
        <v>12772.496874999999</v>
      </c>
      <c r="R81" s="65">
        <f t="shared" si="48"/>
        <v>12772.496874999999</v>
      </c>
      <c r="S81" s="65">
        <f t="shared" si="48"/>
        <v>12772.496874999999</v>
      </c>
      <c r="Z81" s="65">
        <f t="shared" si="33"/>
        <v>96990.782499999987</v>
      </c>
    </row>
    <row r="82" spans="1:27" x14ac:dyDescent="0.3">
      <c r="A82" s="8">
        <v>44927</v>
      </c>
      <c r="I82" s="65">
        <f t="shared" si="39"/>
        <v>3392.6335416666666</v>
      </c>
      <c r="J82" s="65">
        <f t="shared" si="40"/>
        <v>3392.6335416666666</v>
      </c>
      <c r="K82" s="65">
        <f t="shared" si="41"/>
        <v>3392.6335416666666</v>
      </c>
      <c r="L82" s="65">
        <f t="shared" si="42"/>
        <v>3392.6335416666666</v>
      </c>
      <c r="M82" s="65">
        <f t="shared" si="43"/>
        <v>3392.6335416666666</v>
      </c>
      <c r="N82" s="65">
        <f t="shared" si="44"/>
        <v>12772.496874999999</v>
      </c>
      <c r="O82" s="65">
        <f t="shared" si="45"/>
        <v>12772.496874999999</v>
      </c>
      <c r="P82" s="65">
        <f t="shared" si="46"/>
        <v>12772.496874999999</v>
      </c>
      <c r="Q82" s="65">
        <f t="shared" si="47"/>
        <v>12772.496874999999</v>
      </c>
      <c r="R82" s="65">
        <f t="shared" ref="R82:W87" si="49">R$62/12</f>
        <v>12772.496874999999</v>
      </c>
      <c r="S82" s="65">
        <f t="shared" si="48"/>
        <v>12772.496874999999</v>
      </c>
      <c r="T82" s="65">
        <f t="shared" si="48"/>
        <v>12772.496874999999</v>
      </c>
      <c r="Z82" s="65">
        <f t="shared" si="33"/>
        <v>106370.64583333331</v>
      </c>
    </row>
    <row r="83" spans="1:27" x14ac:dyDescent="0.3">
      <c r="A83" s="8">
        <v>44958</v>
      </c>
      <c r="J83" s="65">
        <f t="shared" si="40"/>
        <v>3392.6335416666666</v>
      </c>
      <c r="K83" s="65">
        <f t="shared" si="41"/>
        <v>3392.6335416666666</v>
      </c>
      <c r="L83" s="65">
        <f t="shared" si="42"/>
        <v>3392.6335416666666</v>
      </c>
      <c r="M83" s="65">
        <f t="shared" si="43"/>
        <v>3392.6335416666666</v>
      </c>
      <c r="N83" s="65">
        <f t="shared" si="44"/>
        <v>12772.496874999999</v>
      </c>
      <c r="O83" s="65">
        <f t="shared" si="45"/>
        <v>12772.496874999999</v>
      </c>
      <c r="P83" s="65">
        <f t="shared" si="46"/>
        <v>12772.496874999999</v>
      </c>
      <c r="Q83" s="65">
        <f t="shared" si="47"/>
        <v>12772.496874999999</v>
      </c>
      <c r="R83" s="65">
        <f t="shared" si="49"/>
        <v>12772.496874999999</v>
      </c>
      <c r="S83" s="65">
        <f t="shared" si="49"/>
        <v>12772.496874999999</v>
      </c>
      <c r="T83" s="65">
        <f t="shared" si="48"/>
        <v>12772.496874999999</v>
      </c>
      <c r="U83" s="65">
        <f t="shared" si="48"/>
        <v>12772.496874999999</v>
      </c>
      <c r="Z83" s="65">
        <f t="shared" si="33"/>
        <v>115750.50916666666</v>
      </c>
    </row>
    <row r="84" spans="1:27" x14ac:dyDescent="0.3">
      <c r="A84" s="8">
        <v>44986</v>
      </c>
      <c r="K84" s="65">
        <f t="shared" si="41"/>
        <v>3392.6335416666666</v>
      </c>
      <c r="L84" s="65">
        <f t="shared" si="42"/>
        <v>3392.6335416666666</v>
      </c>
      <c r="M84" s="65">
        <f t="shared" si="43"/>
        <v>3392.6335416666666</v>
      </c>
      <c r="N84" s="65">
        <f t="shared" si="44"/>
        <v>12772.496874999999</v>
      </c>
      <c r="O84" s="65">
        <f t="shared" si="45"/>
        <v>12772.496874999999</v>
      </c>
      <c r="P84" s="65">
        <f t="shared" si="46"/>
        <v>12772.496874999999</v>
      </c>
      <c r="Q84" s="65">
        <f t="shared" si="47"/>
        <v>12772.496874999999</v>
      </c>
      <c r="R84" s="65">
        <f t="shared" si="49"/>
        <v>12772.496874999999</v>
      </c>
      <c r="S84" s="65">
        <f t="shared" si="49"/>
        <v>12772.496874999999</v>
      </c>
      <c r="T84" s="65">
        <f t="shared" si="49"/>
        <v>12772.496874999999</v>
      </c>
      <c r="U84" s="65">
        <f t="shared" si="48"/>
        <v>12772.496874999999</v>
      </c>
      <c r="V84" s="65">
        <f t="shared" si="48"/>
        <v>12772.496874999999</v>
      </c>
      <c r="Z84" s="65">
        <f t="shared" si="33"/>
        <v>125130.37249999998</v>
      </c>
    </row>
    <row r="85" spans="1:27" x14ac:dyDescent="0.3">
      <c r="A85" s="8">
        <v>45017</v>
      </c>
      <c r="L85" s="65">
        <f t="shared" si="42"/>
        <v>3392.6335416666666</v>
      </c>
      <c r="M85" s="65">
        <f t="shared" si="43"/>
        <v>3392.6335416666666</v>
      </c>
      <c r="N85" s="65">
        <f t="shared" si="44"/>
        <v>12772.496874999999</v>
      </c>
      <c r="O85" s="65">
        <f t="shared" si="45"/>
        <v>12772.496874999999</v>
      </c>
      <c r="P85" s="65">
        <f t="shared" si="46"/>
        <v>12772.496874999999</v>
      </c>
      <c r="Q85" s="65">
        <f t="shared" si="47"/>
        <v>12772.496874999999</v>
      </c>
      <c r="R85" s="65">
        <f t="shared" si="49"/>
        <v>12772.496874999999</v>
      </c>
      <c r="S85" s="65">
        <f t="shared" si="49"/>
        <v>12772.496874999999</v>
      </c>
      <c r="T85" s="65">
        <f t="shared" si="49"/>
        <v>12772.496874999999</v>
      </c>
      <c r="U85" s="65">
        <f t="shared" si="49"/>
        <v>12772.496874999999</v>
      </c>
      <c r="V85" s="65">
        <f t="shared" si="48"/>
        <v>12772.496874999999</v>
      </c>
      <c r="W85" s="65">
        <f t="shared" si="48"/>
        <v>12772.496874999999</v>
      </c>
      <c r="Z85" s="65">
        <f t="shared" si="33"/>
        <v>134510.23583333331</v>
      </c>
    </row>
    <row r="86" spans="1:27" x14ac:dyDescent="0.3">
      <c r="A86" s="8">
        <v>45047</v>
      </c>
      <c r="M86" s="65">
        <f t="shared" si="43"/>
        <v>3392.6335416666666</v>
      </c>
      <c r="N86" s="65">
        <f t="shared" si="44"/>
        <v>12772.496874999999</v>
      </c>
      <c r="O86" s="65">
        <f t="shared" si="45"/>
        <v>12772.496874999999</v>
      </c>
      <c r="P86" s="65">
        <f t="shared" si="46"/>
        <v>12772.496874999999</v>
      </c>
      <c r="Q86" s="65">
        <f t="shared" si="47"/>
        <v>12772.496874999999</v>
      </c>
      <c r="R86" s="65">
        <f t="shared" si="49"/>
        <v>12772.496874999999</v>
      </c>
      <c r="S86" s="65">
        <f t="shared" si="49"/>
        <v>12772.496874999999</v>
      </c>
      <c r="T86" s="65">
        <f t="shared" si="49"/>
        <v>12772.496874999999</v>
      </c>
      <c r="U86" s="65">
        <f t="shared" si="49"/>
        <v>12772.496874999999</v>
      </c>
      <c r="V86" s="65">
        <f t="shared" si="49"/>
        <v>12772.496874999999</v>
      </c>
      <c r="W86" s="65">
        <f t="shared" si="48"/>
        <v>12772.496874999999</v>
      </c>
      <c r="X86" s="65">
        <f t="shared" si="48"/>
        <v>12772.496874999999</v>
      </c>
      <c r="Z86" s="65">
        <f t="shared" si="33"/>
        <v>143890.09916666665</v>
      </c>
    </row>
    <row r="87" spans="1:27" x14ac:dyDescent="0.3">
      <c r="A87" s="8">
        <v>45078</v>
      </c>
      <c r="N87" s="65">
        <f t="shared" si="44"/>
        <v>12772.496874999999</v>
      </c>
      <c r="O87" s="65">
        <f t="shared" si="45"/>
        <v>12772.496874999999</v>
      </c>
      <c r="P87" s="65">
        <f t="shared" si="46"/>
        <v>12772.496874999999</v>
      </c>
      <c r="Q87" s="65">
        <f t="shared" si="47"/>
        <v>12772.496874999999</v>
      </c>
      <c r="R87" s="65">
        <f t="shared" si="49"/>
        <v>12772.496874999999</v>
      </c>
      <c r="S87" s="65">
        <f t="shared" si="49"/>
        <v>12772.496874999999</v>
      </c>
      <c r="T87" s="65">
        <f t="shared" si="49"/>
        <v>12772.496874999999</v>
      </c>
      <c r="U87" s="65">
        <f t="shared" si="49"/>
        <v>12772.496874999999</v>
      </c>
      <c r="V87" s="65">
        <f t="shared" si="49"/>
        <v>12772.496874999999</v>
      </c>
      <c r="W87" s="65">
        <f t="shared" si="49"/>
        <v>12772.496874999999</v>
      </c>
      <c r="X87" s="65">
        <f t="shared" si="48"/>
        <v>12772.496874999999</v>
      </c>
      <c r="Y87" s="65">
        <f t="shared" si="48"/>
        <v>12772.496874999999</v>
      </c>
      <c r="Z87" s="65">
        <f t="shared" si="33"/>
        <v>153269.96249999999</v>
      </c>
    </row>
    <row r="88" spans="1:27" x14ac:dyDescent="0.3">
      <c r="B88" s="65">
        <f>SUM(B64:B87)</f>
        <v>0</v>
      </c>
      <c r="C88" s="65">
        <f t="shared" ref="C88:X88" si="50">SUM(C64:C87)</f>
        <v>26000.000000000004</v>
      </c>
      <c r="D88" s="65">
        <f t="shared" si="50"/>
        <v>512000.00000000006</v>
      </c>
      <c r="E88" s="65">
        <f t="shared" si="50"/>
        <v>3000</v>
      </c>
      <c r="F88" s="65">
        <f t="shared" si="50"/>
        <v>3000</v>
      </c>
      <c r="G88" s="65">
        <f t="shared" si="50"/>
        <v>3000</v>
      </c>
      <c r="H88" s="65">
        <f t="shared" si="50"/>
        <v>40711.602500000008</v>
      </c>
      <c r="I88" s="65">
        <f t="shared" si="50"/>
        <v>40711.602500000008</v>
      </c>
      <c r="J88" s="65">
        <f t="shared" si="50"/>
        <v>40711.602500000008</v>
      </c>
      <c r="K88" s="65">
        <f t="shared" si="50"/>
        <v>40711.602500000008</v>
      </c>
      <c r="L88" s="65">
        <f t="shared" si="50"/>
        <v>40711.602500000008</v>
      </c>
      <c r="M88" s="65">
        <f t="shared" si="50"/>
        <v>40711.602500000008</v>
      </c>
      <c r="N88" s="65">
        <f t="shared" si="50"/>
        <v>153269.96249999999</v>
      </c>
      <c r="O88" s="65">
        <f t="shared" si="50"/>
        <v>140497.46562499998</v>
      </c>
      <c r="P88" s="65">
        <f t="shared" si="50"/>
        <v>127724.96874999999</v>
      </c>
      <c r="Q88" s="65">
        <f t="shared" si="50"/>
        <v>114952.47187499999</v>
      </c>
      <c r="R88" s="65">
        <f t="shared" si="50"/>
        <v>102179.97499999999</v>
      </c>
      <c r="S88" s="65">
        <f t="shared" si="50"/>
        <v>89407.478124999994</v>
      </c>
      <c r="T88" s="65">
        <f t="shared" si="50"/>
        <v>76634.981249999997</v>
      </c>
      <c r="U88" s="65">
        <f t="shared" si="50"/>
        <v>63862.484374999993</v>
      </c>
      <c r="V88" s="65">
        <f t="shared" si="50"/>
        <v>51089.987499999996</v>
      </c>
      <c r="W88" s="65">
        <f t="shared" si="50"/>
        <v>38317.490624999999</v>
      </c>
      <c r="X88" s="65">
        <f t="shared" si="50"/>
        <v>25544.993749999998</v>
      </c>
      <c r="Y88" s="65">
        <f>SUM(Y64:Y87)</f>
        <v>12772.496874999999</v>
      </c>
      <c r="Z88" s="65">
        <f>SUM(Z64:Z87)</f>
        <v>1787524.3712499999</v>
      </c>
      <c r="AA88" s="65">
        <f>SUM(B88:Y88)-Z88</f>
        <v>0</v>
      </c>
    </row>
    <row r="89" spans="1:27" x14ac:dyDescent="0.3">
      <c r="A89" t="s">
        <v>3</v>
      </c>
      <c r="B89" s="66">
        <f>+$Z$64</f>
        <v>0</v>
      </c>
      <c r="C89" s="66">
        <f>+$Z$65</f>
        <v>2166.6666666666665</v>
      </c>
      <c r="D89" s="66">
        <f>+$Z$66</f>
        <v>44833.333333333328</v>
      </c>
      <c r="E89" s="66">
        <f>+$Z$67</f>
        <v>45083.333333333328</v>
      </c>
      <c r="F89" s="66">
        <f>+$Z$68</f>
        <v>45333.333333333328</v>
      </c>
      <c r="G89" s="66">
        <f>+$Z$69</f>
        <v>45583.333333333328</v>
      </c>
      <c r="H89" s="66">
        <f>+$Z$70</f>
        <v>48975.966874999998</v>
      </c>
      <c r="I89" s="66">
        <f>+$Z$71</f>
        <v>52368.600416666668</v>
      </c>
      <c r="J89" s="66">
        <f>+$Z$72</f>
        <v>55761.233958333338</v>
      </c>
      <c r="K89" s="66">
        <f>+$Z$73</f>
        <v>59153.867500000008</v>
      </c>
      <c r="L89" s="66">
        <f>+$Z$74</f>
        <v>62546.501041666677</v>
      </c>
      <c r="M89" s="66">
        <f>+$Z$75</f>
        <v>65939.134583333347</v>
      </c>
      <c r="N89" s="66">
        <f>+$Z$76</f>
        <v>78711.631458333344</v>
      </c>
      <c r="O89" s="66">
        <f>+$Z$77</f>
        <v>89317.461666666684</v>
      </c>
      <c r="P89" s="66">
        <f>+$Z$78</f>
        <v>59423.291874999988</v>
      </c>
      <c r="Q89" s="66">
        <f>+$Z$79</f>
        <v>71945.788749999992</v>
      </c>
      <c r="R89" s="66">
        <f>+$Z$80</f>
        <v>84468.28562499999</v>
      </c>
      <c r="S89" s="66">
        <f>+$Z$81</f>
        <v>96990.782499999987</v>
      </c>
      <c r="T89" s="66">
        <f>+$Z$82</f>
        <v>106370.64583333331</v>
      </c>
      <c r="U89" s="66">
        <f>+$Z$83</f>
        <v>115750.50916666666</v>
      </c>
      <c r="V89" s="66">
        <f>+$Z$84</f>
        <v>125130.37249999998</v>
      </c>
      <c r="W89" s="66">
        <f>+$Z$85</f>
        <v>134510.23583333331</v>
      </c>
      <c r="X89" s="66">
        <f>+$Z$86</f>
        <v>143890.09916666665</v>
      </c>
      <c r="Y89" s="66">
        <f>+$Z$87</f>
        <v>153269.96249999999</v>
      </c>
      <c r="Z89" s="66">
        <f>SUM(B89:Y89)</f>
        <v>1787524.3712499999</v>
      </c>
    </row>
  </sheetData>
  <mergeCells count="4">
    <mergeCell ref="B7:J7"/>
    <mergeCell ref="L7:N7"/>
    <mergeCell ref="B24:J24"/>
    <mergeCell ref="L24:N24"/>
  </mergeCells>
  <pageMargins left="0.7" right="0.7" top="0.75" bottom="0.75" header="0.3" footer="0.3"/>
  <pageSetup scale="37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DEF52-3D56-4CB7-9D54-0CD14C07A191}">
  <sheetPr>
    <pageSetUpPr fitToPage="1"/>
  </sheetPr>
  <dimension ref="A1:M42"/>
  <sheetViews>
    <sheetView topLeftCell="A5" workbookViewId="0">
      <selection activeCell="O21" sqref="O21"/>
    </sheetView>
  </sheetViews>
  <sheetFormatPr defaultRowHeight="14.4" x14ac:dyDescent="0.3"/>
  <cols>
    <col min="1" max="1" width="10.5546875" customWidth="1"/>
    <col min="2" max="3" width="13.6640625" bestFit="1" customWidth="1"/>
    <col min="4" max="4" width="12.5546875" bestFit="1" customWidth="1"/>
    <col min="5" max="5" width="12.6640625" bestFit="1" customWidth="1"/>
    <col min="6" max="6" width="12.5546875" bestFit="1" customWidth="1"/>
    <col min="7" max="7" width="13.88671875" bestFit="1" customWidth="1"/>
    <col min="9" max="9" width="11.109375" bestFit="1" customWidth="1"/>
    <col min="10" max="10" width="11.44140625" bestFit="1" customWidth="1"/>
    <col min="11" max="11" width="9" bestFit="1" customWidth="1"/>
    <col min="12" max="12" width="10.6640625" bestFit="1" customWidth="1"/>
    <col min="13" max="13" width="14" bestFit="1" customWidth="1"/>
  </cols>
  <sheetData>
    <row r="1" spans="1:13" ht="15.6" x14ac:dyDescent="0.3">
      <c r="A1" s="6" t="s">
        <v>0</v>
      </c>
      <c r="M1" t="s">
        <v>46</v>
      </c>
    </row>
    <row r="2" spans="1:13" ht="15.6" x14ac:dyDescent="0.3">
      <c r="A2" s="7" t="s">
        <v>1</v>
      </c>
    </row>
    <row r="3" spans="1:13" x14ac:dyDescent="0.3">
      <c r="A3" s="3" t="s">
        <v>47</v>
      </c>
    </row>
    <row r="5" spans="1:13" x14ac:dyDescent="0.3">
      <c r="D5" s="2" t="s">
        <v>48</v>
      </c>
      <c r="E5" s="2" t="s">
        <v>49</v>
      </c>
      <c r="F5" s="2" t="s">
        <v>50</v>
      </c>
      <c r="M5" s="2" t="s">
        <v>30</v>
      </c>
    </row>
    <row r="6" spans="1:13" x14ac:dyDescent="0.3">
      <c r="C6" s="2" t="s">
        <v>51</v>
      </c>
      <c r="D6" s="2" t="s">
        <v>52</v>
      </c>
      <c r="E6" s="2" t="s">
        <v>53</v>
      </c>
      <c r="F6" s="2" t="s">
        <v>52</v>
      </c>
      <c r="G6" s="2" t="s">
        <v>54</v>
      </c>
      <c r="J6" s="2" t="s">
        <v>55</v>
      </c>
      <c r="K6" s="2" t="s">
        <v>56</v>
      </c>
      <c r="L6" s="2" t="s">
        <v>57</v>
      </c>
      <c r="M6" s="2" t="s">
        <v>58</v>
      </c>
    </row>
    <row r="7" spans="1:13" x14ac:dyDescent="0.3">
      <c r="B7" s="2" t="s">
        <v>8</v>
      </c>
      <c r="C7" s="2" t="s">
        <v>39</v>
      </c>
      <c r="D7" s="2" t="s">
        <v>59</v>
      </c>
      <c r="E7" s="2" t="s">
        <v>60</v>
      </c>
      <c r="F7" s="2" t="s">
        <v>59</v>
      </c>
      <c r="G7" s="2" t="s">
        <v>61</v>
      </c>
      <c r="H7" s="2" t="s">
        <v>29</v>
      </c>
      <c r="I7" s="2" t="s">
        <v>30</v>
      </c>
      <c r="J7" s="2" t="s">
        <v>62</v>
      </c>
      <c r="K7" s="2" t="s">
        <v>57</v>
      </c>
      <c r="L7" s="2" t="s">
        <v>63</v>
      </c>
      <c r="M7" s="2" t="s">
        <v>60</v>
      </c>
    </row>
    <row r="8" spans="1:13" x14ac:dyDescent="0.3">
      <c r="A8" s="69" t="s">
        <v>9</v>
      </c>
      <c r="B8" s="17" t="s">
        <v>12</v>
      </c>
      <c r="C8" s="17" t="s">
        <v>43</v>
      </c>
      <c r="D8" s="17" t="s">
        <v>64</v>
      </c>
      <c r="E8" s="17" t="s">
        <v>65</v>
      </c>
      <c r="F8" s="17" t="s">
        <v>64</v>
      </c>
      <c r="G8" s="17" t="s">
        <v>66</v>
      </c>
      <c r="H8" s="17" t="s">
        <v>67</v>
      </c>
      <c r="I8" s="17" t="s">
        <v>29</v>
      </c>
      <c r="J8" s="17" t="s">
        <v>68</v>
      </c>
      <c r="K8" s="17" t="s">
        <v>69</v>
      </c>
      <c r="L8" s="17" t="s">
        <v>41</v>
      </c>
      <c r="M8" s="17" t="s">
        <v>66</v>
      </c>
    </row>
    <row r="9" spans="1:13" x14ac:dyDescent="0.3">
      <c r="A9" s="8">
        <v>44378</v>
      </c>
      <c r="B9" s="11">
        <f>'Actual EEC revenues  rate class'!F10</f>
        <v>465390.2900000001</v>
      </c>
      <c r="C9" s="11">
        <f>'Monthly Revenue Req.'!R14</f>
        <v>117296.1136887155</v>
      </c>
      <c r="D9" s="11">
        <v>0</v>
      </c>
      <c r="E9" s="11">
        <f>C9-B9</f>
        <v>-348094.17631128459</v>
      </c>
      <c r="F9" s="11">
        <f>SUM(D9:E9)</f>
        <v>-348094.17631128459</v>
      </c>
      <c r="G9" s="12">
        <f>(F9+D9)/2</f>
        <v>-174047.0881556423</v>
      </c>
      <c r="H9" s="13">
        <v>0.28110000000000002</v>
      </c>
      <c r="I9" s="21">
        <f>ROUND(G9*H9,2)</f>
        <v>-48924.639999999999</v>
      </c>
      <c r="J9" s="12">
        <f>G9-I9</f>
        <v>-125122.4481556423</v>
      </c>
      <c r="K9" s="14">
        <v>7.0833333333333338E-4</v>
      </c>
      <c r="L9" s="11">
        <f>ROUND(J9*K9,2)</f>
        <v>-88.63</v>
      </c>
      <c r="M9" s="12">
        <f>SUM($L$9:L9)+F9</f>
        <v>-348182.8063112846</v>
      </c>
    </row>
    <row r="10" spans="1:13" x14ac:dyDescent="0.3">
      <c r="A10" s="8">
        <v>44409</v>
      </c>
      <c r="B10" s="10">
        <f>'Actual EEC revenues  rate class'!F11</f>
        <v>1174324.6800000002</v>
      </c>
      <c r="C10" s="10">
        <f>'Monthly Revenue Req.'!R15</f>
        <v>233530.2257209075</v>
      </c>
      <c r="D10" s="10">
        <f>+F9</f>
        <v>-348094.17631128459</v>
      </c>
      <c r="E10" s="10">
        <f t="shared" ref="E10:E14" si="0">C10-B10</f>
        <v>-940794.45427909261</v>
      </c>
      <c r="F10" s="10">
        <f t="shared" ref="F10:F14" si="1">SUM(D10:E10)</f>
        <v>-1288888.6305903771</v>
      </c>
      <c r="G10" s="10">
        <f t="shared" ref="G10:G14" si="2">(F10+D10)/2</f>
        <v>-818491.40345083084</v>
      </c>
      <c r="H10" s="13">
        <v>0.28110000000000002</v>
      </c>
      <c r="I10" s="21">
        <f t="shared" ref="I10:I14" si="3">ROUND(G10*H10,2)</f>
        <v>-230077.93</v>
      </c>
      <c r="J10" s="10">
        <f t="shared" ref="J10:J14" si="4">G10-I10</f>
        <v>-588413.4734508309</v>
      </c>
      <c r="K10" s="14">
        <v>6.4166666666666669E-4</v>
      </c>
      <c r="L10" s="10">
        <f t="shared" ref="L10:L14" si="5">ROUND(J10*K10,2)</f>
        <v>-377.57</v>
      </c>
      <c r="M10" s="12">
        <f>SUM($L$9:L10)+F10</f>
        <v>-1289354.8305903771</v>
      </c>
    </row>
    <row r="11" spans="1:13" x14ac:dyDescent="0.3">
      <c r="A11" s="8">
        <v>44440</v>
      </c>
      <c r="B11" s="10">
        <f>'Actual EEC revenues  rate class'!F12</f>
        <v>1187169.7413833528</v>
      </c>
      <c r="C11" s="10">
        <f>'Monthly Revenue Req.'!R16</f>
        <v>327271.6486998804</v>
      </c>
      <c r="D11" s="10">
        <f t="shared" ref="D11:D14" si="6">+F10</f>
        <v>-1288888.6305903771</v>
      </c>
      <c r="E11" s="10">
        <f t="shared" si="0"/>
        <v>-859898.09268347244</v>
      </c>
      <c r="F11" s="10">
        <f t="shared" si="1"/>
        <v>-2148786.7232738496</v>
      </c>
      <c r="G11" s="10">
        <f t="shared" si="2"/>
        <v>-1718837.6769321132</v>
      </c>
      <c r="H11" s="13">
        <v>0.28110000000000002</v>
      </c>
      <c r="I11" s="21">
        <f t="shared" si="3"/>
        <v>-483165.27</v>
      </c>
      <c r="J11" s="10">
        <f t="shared" si="4"/>
        <v>-1235672.4069321132</v>
      </c>
      <c r="K11" s="14">
        <v>6.6666666666666664E-4</v>
      </c>
      <c r="L11" s="10">
        <f t="shared" si="5"/>
        <v>-823.78</v>
      </c>
      <c r="M11" s="12">
        <f>SUM($L$9:L11)+F11</f>
        <v>-2150076.7032738496</v>
      </c>
    </row>
    <row r="12" spans="1:13" x14ac:dyDescent="0.3">
      <c r="A12" s="8">
        <v>44470</v>
      </c>
      <c r="B12" s="10">
        <f>'Actual EEC revenues  rate class'!F13</f>
        <v>924132.33999999985</v>
      </c>
      <c r="C12" s="10">
        <f>'Monthly Revenue Req.'!R17</f>
        <v>388448.72790911508</v>
      </c>
      <c r="D12" s="10">
        <f t="shared" si="6"/>
        <v>-2148786.7232738496</v>
      </c>
      <c r="E12" s="10">
        <f t="shared" si="0"/>
        <v>-535683.61209088471</v>
      </c>
      <c r="F12" s="10">
        <f t="shared" si="1"/>
        <v>-2684470.3353647343</v>
      </c>
      <c r="G12" s="10">
        <f t="shared" si="2"/>
        <v>-2416628.5293192919</v>
      </c>
      <c r="H12" s="13">
        <v>0.28110000000000002</v>
      </c>
      <c r="I12" s="21">
        <f t="shared" si="3"/>
        <v>-679314.28</v>
      </c>
      <c r="J12" s="10">
        <f t="shared" si="4"/>
        <v>-1737314.2493192919</v>
      </c>
      <c r="K12" s="14">
        <v>7.2499999999999995E-4</v>
      </c>
      <c r="L12" s="10">
        <f t="shared" si="5"/>
        <v>-1259.55</v>
      </c>
      <c r="M12" s="12">
        <f>SUM($L$9:L12)+F12</f>
        <v>-2687019.8653647341</v>
      </c>
    </row>
    <row r="13" spans="1:13" x14ac:dyDescent="0.3">
      <c r="A13" s="8">
        <v>44501</v>
      </c>
      <c r="B13" s="10">
        <f>'Actual EEC revenues  rate class'!F14</f>
        <v>769964.4946424386</v>
      </c>
      <c r="C13" s="10">
        <f>'Monthly Revenue Req.'!R18</f>
        <v>352134.81401939533</v>
      </c>
      <c r="D13" s="10">
        <f t="shared" si="6"/>
        <v>-2684470.3353647343</v>
      </c>
      <c r="E13" s="10">
        <f t="shared" si="0"/>
        <v>-417829.68062304327</v>
      </c>
      <c r="F13" s="10">
        <f t="shared" si="1"/>
        <v>-3102300.0159877776</v>
      </c>
      <c r="G13" s="10">
        <f t="shared" si="2"/>
        <v>-2893385.175676256</v>
      </c>
      <c r="H13" s="13">
        <v>0.28110000000000002</v>
      </c>
      <c r="I13" s="21">
        <f t="shared" si="3"/>
        <v>-813330.57</v>
      </c>
      <c r="J13" s="10">
        <f t="shared" si="4"/>
        <v>-2080054.6056762561</v>
      </c>
      <c r="K13" s="14">
        <v>9.1666666666666665E-4</v>
      </c>
      <c r="L13" s="10">
        <f t="shared" si="5"/>
        <v>-1906.72</v>
      </c>
      <c r="M13" s="12">
        <f>SUM($L$9:L13)+F13</f>
        <v>-3106756.2659877776</v>
      </c>
    </row>
    <row r="14" spans="1:13" ht="16.2" x14ac:dyDescent="0.45">
      <c r="A14" s="8">
        <v>44531</v>
      </c>
      <c r="B14" s="55">
        <f>'Actual EEC revenues  rate class'!F15</f>
        <v>809972.01</v>
      </c>
      <c r="C14" s="55">
        <f>'Monthly Revenue Req.'!R19</f>
        <v>316966.43199301907</v>
      </c>
      <c r="D14" s="10">
        <f t="shared" si="6"/>
        <v>-3102300.0159877776</v>
      </c>
      <c r="E14" s="54">
        <f t="shared" si="0"/>
        <v>-493005.57800698094</v>
      </c>
      <c r="F14" s="10">
        <f t="shared" si="1"/>
        <v>-3595305.5939947586</v>
      </c>
      <c r="G14" s="10">
        <f t="shared" si="2"/>
        <v>-3348802.8049912681</v>
      </c>
      <c r="H14" s="13">
        <v>0.28110000000000002</v>
      </c>
      <c r="I14" s="21">
        <f t="shared" si="3"/>
        <v>-941348.47</v>
      </c>
      <c r="J14" s="10">
        <f t="shared" si="4"/>
        <v>-2407454.3349912679</v>
      </c>
      <c r="K14" s="56">
        <v>9.6666666666666656E-4</v>
      </c>
      <c r="L14" s="20">
        <f t="shared" si="5"/>
        <v>-2327.21</v>
      </c>
      <c r="M14" s="12">
        <f>SUM($L$9:L14)+F14</f>
        <v>-3602089.0539947585</v>
      </c>
    </row>
    <row r="15" spans="1:13" ht="13.2" customHeight="1" x14ac:dyDescent="0.3">
      <c r="A15" t="s">
        <v>13</v>
      </c>
      <c r="B15" s="12">
        <f>SUM(B9:B14)</f>
        <v>5330953.556025791</v>
      </c>
      <c r="C15" s="12">
        <f>SUM(C9:C14)</f>
        <v>1735647.9620310329</v>
      </c>
      <c r="L15" s="12">
        <f>SUM(L9:L14)</f>
        <v>-6783.46</v>
      </c>
    </row>
    <row r="17" spans="1:13" x14ac:dyDescent="0.3">
      <c r="A17" s="64" t="s">
        <v>70</v>
      </c>
    </row>
    <row r="18" spans="1:13" x14ac:dyDescent="0.3">
      <c r="B18" s="74" t="s">
        <v>71</v>
      </c>
      <c r="C18" s="74"/>
      <c r="D18" s="74"/>
    </row>
    <row r="19" spans="1:13" x14ac:dyDescent="0.3">
      <c r="B19" s="2" t="s">
        <v>72</v>
      </c>
      <c r="C19" s="2" t="s">
        <v>73</v>
      </c>
      <c r="D19" s="2" t="s">
        <v>74</v>
      </c>
    </row>
    <row r="20" spans="1:13" x14ac:dyDescent="0.3">
      <c r="A20" s="70" t="s">
        <v>9</v>
      </c>
      <c r="B20" s="17" t="s">
        <v>75</v>
      </c>
      <c r="C20" s="17" t="s">
        <v>76</v>
      </c>
      <c r="D20" s="17" t="s">
        <v>12</v>
      </c>
    </row>
    <row r="21" spans="1:13" x14ac:dyDescent="0.3">
      <c r="A21" s="8">
        <v>44562</v>
      </c>
      <c r="B21" s="10">
        <v>1678389213.1999989</v>
      </c>
      <c r="C21" s="67">
        <v>5.8799999999999998E-4</v>
      </c>
      <c r="D21" s="10">
        <f>ROUND(B21*C21,2)</f>
        <v>986892.86</v>
      </c>
    </row>
    <row r="22" spans="1:13" x14ac:dyDescent="0.3">
      <c r="A22" s="8">
        <v>44593</v>
      </c>
      <c r="B22" s="10">
        <v>1639627176.7999997</v>
      </c>
      <c r="C22" s="67">
        <v>5.8799999999999998E-4</v>
      </c>
      <c r="D22" s="10">
        <f t="shared" ref="D22:D26" si="7">ROUND(B22*C22,2)</f>
        <v>964100.78</v>
      </c>
    </row>
    <row r="23" spans="1:13" x14ac:dyDescent="0.3">
      <c r="A23" s="8">
        <v>44621</v>
      </c>
      <c r="B23" s="10">
        <v>1542352269.3000007</v>
      </c>
      <c r="C23" s="67">
        <v>5.8799999999999998E-4</v>
      </c>
      <c r="D23" s="10">
        <f t="shared" si="7"/>
        <v>906903.13</v>
      </c>
    </row>
    <row r="24" spans="1:13" x14ac:dyDescent="0.3">
      <c r="A24" s="8">
        <v>44652</v>
      </c>
      <c r="B24" s="10">
        <v>1439200845.8000009</v>
      </c>
      <c r="C24" s="67">
        <v>5.8799999999999998E-4</v>
      </c>
      <c r="D24" s="10">
        <f t="shared" si="7"/>
        <v>846250.1</v>
      </c>
    </row>
    <row r="25" spans="1:13" x14ac:dyDescent="0.3">
      <c r="A25" s="8">
        <v>44682</v>
      </c>
      <c r="B25" s="10">
        <v>1370185033.2999995</v>
      </c>
      <c r="C25" s="67">
        <v>5.8799999999999998E-4</v>
      </c>
      <c r="D25" s="10">
        <f t="shared" si="7"/>
        <v>805668.8</v>
      </c>
    </row>
    <row r="26" spans="1:13" ht="16.2" x14ac:dyDescent="0.45">
      <c r="A26" s="8">
        <v>44713</v>
      </c>
      <c r="B26" s="20">
        <v>1588032922.8999996</v>
      </c>
      <c r="C26" s="67">
        <v>5.8799999999999998E-4</v>
      </c>
      <c r="D26" s="20">
        <f t="shared" si="7"/>
        <v>933763.36</v>
      </c>
    </row>
    <row r="27" spans="1:13" x14ac:dyDescent="0.3">
      <c r="A27" s="9" t="s">
        <v>3</v>
      </c>
      <c r="B27" s="65">
        <f>SUM(B21:B26)</f>
        <v>9257787461.2999992</v>
      </c>
      <c r="D27" s="65">
        <f>SUM(D21:D26)</f>
        <v>5443579.0300000003</v>
      </c>
    </row>
    <row r="28" spans="1:13" x14ac:dyDescent="0.3">
      <c r="B28" s="65"/>
      <c r="D28" s="65"/>
    </row>
    <row r="29" spans="1:13" x14ac:dyDescent="0.3">
      <c r="D29" s="2" t="s">
        <v>61</v>
      </c>
      <c r="E29" s="2" t="s">
        <v>49</v>
      </c>
      <c r="F29" s="2" t="s">
        <v>50</v>
      </c>
      <c r="M29" s="2" t="s">
        <v>30</v>
      </c>
    </row>
    <row r="30" spans="1:13" x14ac:dyDescent="0.3">
      <c r="B30" s="1"/>
      <c r="C30" s="2" t="s">
        <v>72</v>
      </c>
      <c r="D30" s="2" t="s">
        <v>52</v>
      </c>
      <c r="E30" s="2" t="s">
        <v>53</v>
      </c>
      <c r="F30" s="2" t="s">
        <v>52</v>
      </c>
      <c r="G30" s="2" t="s">
        <v>54</v>
      </c>
      <c r="J30" s="2" t="s">
        <v>55</v>
      </c>
      <c r="K30" s="2" t="s">
        <v>56</v>
      </c>
      <c r="L30" s="2" t="s">
        <v>57</v>
      </c>
      <c r="M30" s="2" t="s">
        <v>58</v>
      </c>
    </row>
    <row r="31" spans="1:13" x14ac:dyDescent="0.3">
      <c r="B31" s="2" t="s">
        <v>74</v>
      </c>
      <c r="C31" s="2" t="s">
        <v>77</v>
      </c>
      <c r="D31" s="2" t="s">
        <v>78</v>
      </c>
      <c r="E31" s="2" t="s">
        <v>60</v>
      </c>
      <c r="F31" s="2" t="s">
        <v>59</v>
      </c>
      <c r="G31" s="2" t="s">
        <v>61</v>
      </c>
      <c r="H31" s="2" t="s">
        <v>29</v>
      </c>
      <c r="I31" s="2" t="s">
        <v>30</v>
      </c>
      <c r="J31" s="2" t="s">
        <v>62</v>
      </c>
      <c r="K31" s="2" t="s">
        <v>57</v>
      </c>
      <c r="L31" s="2" t="s">
        <v>63</v>
      </c>
      <c r="M31" s="2" t="s">
        <v>60</v>
      </c>
    </row>
    <row r="32" spans="1:13" x14ac:dyDescent="0.3">
      <c r="A32" s="70" t="s">
        <v>9</v>
      </c>
      <c r="B32" s="17" t="s">
        <v>12</v>
      </c>
      <c r="C32" s="17" t="s">
        <v>43</v>
      </c>
      <c r="D32" s="17" t="s">
        <v>64</v>
      </c>
      <c r="E32" s="17" t="s">
        <v>65</v>
      </c>
      <c r="F32" s="17" t="s">
        <v>64</v>
      </c>
      <c r="G32" s="17" t="s">
        <v>66</v>
      </c>
      <c r="H32" s="17" t="s">
        <v>67</v>
      </c>
      <c r="I32" s="17" t="s">
        <v>29</v>
      </c>
      <c r="J32" s="17" t="s">
        <v>68</v>
      </c>
      <c r="K32" s="17" t="s">
        <v>69</v>
      </c>
      <c r="L32" s="17" t="s">
        <v>41</v>
      </c>
      <c r="M32" s="17" t="s">
        <v>66</v>
      </c>
    </row>
    <row r="34" spans="1:13" x14ac:dyDescent="0.3">
      <c r="A34" s="8">
        <v>44562</v>
      </c>
      <c r="B34" s="65">
        <f>D21</f>
        <v>986892.86</v>
      </c>
      <c r="C34" s="10">
        <f>'Monthly Revenue Req.'!R30</f>
        <v>793201.49751088873</v>
      </c>
      <c r="D34" s="10">
        <f>+F14</f>
        <v>-3595305.5939947586</v>
      </c>
      <c r="E34" s="11">
        <f>C34-B34</f>
        <v>-193691.36248911126</v>
      </c>
      <c r="F34" s="11">
        <f>SUM(D34:E34)</f>
        <v>-3788996.9564838698</v>
      </c>
      <c r="G34" s="12">
        <f>(F34+D34)/2</f>
        <v>-3692151.275239314</v>
      </c>
      <c r="H34" s="13">
        <v>0.28110000000000002</v>
      </c>
      <c r="I34" s="21">
        <f>ROUND(G34*H34,2)</f>
        <v>-1037863.72</v>
      </c>
      <c r="J34" s="12">
        <f>G34-I34</f>
        <v>-2654287.5552393142</v>
      </c>
      <c r="K34" s="56">
        <v>1.1599999999999999E-2</v>
      </c>
      <c r="L34" s="11">
        <f>ROUND(J34*K34,2)</f>
        <v>-30789.74</v>
      </c>
      <c r="M34" s="12">
        <f>SUM($L$9:L34)+F34</f>
        <v>-3833353.61648387</v>
      </c>
    </row>
    <row r="35" spans="1:13" x14ac:dyDescent="0.3">
      <c r="A35" s="8">
        <v>44593</v>
      </c>
      <c r="B35" s="65">
        <f t="shared" ref="B35:B39" si="8">D22</f>
        <v>964100.78</v>
      </c>
      <c r="C35" s="10">
        <f>'Monthly Revenue Req.'!R31</f>
        <v>826460.17704379919</v>
      </c>
      <c r="D35" s="10">
        <f>+F34</f>
        <v>-3788996.9564838698</v>
      </c>
      <c r="E35" s="10">
        <f t="shared" ref="E35:E39" si="9">C35-B35</f>
        <v>-137640.60295620083</v>
      </c>
      <c r="F35" s="11">
        <f t="shared" ref="F35:F39" si="10">SUM(D35:E35)</f>
        <v>-3926637.5594400708</v>
      </c>
      <c r="G35" s="10">
        <f t="shared" ref="G35:G39" si="11">(F35+D35)/2</f>
        <v>-3857817.2579619703</v>
      </c>
      <c r="H35" s="13">
        <v>0.28110000000000002</v>
      </c>
      <c r="I35" s="21">
        <f t="shared" ref="I35:I39" si="12">ROUND(G35*H35,2)</f>
        <v>-1084432.43</v>
      </c>
      <c r="J35" s="10">
        <f t="shared" ref="J35:J39" si="13">G35-I35</f>
        <v>-2773384.8279619701</v>
      </c>
      <c r="K35" s="56">
        <v>1.1599999999999999E-2</v>
      </c>
      <c r="L35" s="10">
        <f t="shared" ref="L35:L39" si="14">ROUND(J35*K35,2)</f>
        <v>-32171.26</v>
      </c>
      <c r="M35" s="10">
        <f>SUM($L$9:L35)+F35</f>
        <v>-4003165.4794400707</v>
      </c>
    </row>
    <row r="36" spans="1:13" x14ac:dyDescent="0.3">
      <c r="A36" s="8">
        <v>44621</v>
      </c>
      <c r="B36" s="65">
        <f t="shared" si="8"/>
        <v>906903.13</v>
      </c>
      <c r="C36" s="10">
        <f>'Monthly Revenue Req.'!R32</f>
        <v>859598.43271113466</v>
      </c>
      <c r="D36" s="10">
        <f t="shared" ref="D36:D39" si="15">+F35</f>
        <v>-3926637.5594400708</v>
      </c>
      <c r="E36" s="10">
        <f t="shared" si="9"/>
        <v>-47304.69728886534</v>
      </c>
      <c r="F36" s="11">
        <f t="shared" si="10"/>
        <v>-3973942.256728936</v>
      </c>
      <c r="G36" s="10">
        <f t="shared" si="11"/>
        <v>-3950289.9080845034</v>
      </c>
      <c r="H36" s="13">
        <v>0.28110000000000002</v>
      </c>
      <c r="I36" s="21">
        <f t="shared" si="12"/>
        <v>-1110426.49</v>
      </c>
      <c r="J36" s="10">
        <f t="shared" si="13"/>
        <v>-2839863.4180845032</v>
      </c>
      <c r="K36" s="56">
        <v>1.1599999999999999E-2</v>
      </c>
      <c r="L36" s="10">
        <f t="shared" si="14"/>
        <v>-32942.42</v>
      </c>
      <c r="M36" s="10">
        <f>SUM($L$9:L36)+F36</f>
        <v>-4083412.5967289358</v>
      </c>
    </row>
    <row r="37" spans="1:13" x14ac:dyDescent="0.3">
      <c r="A37" s="8">
        <v>44652</v>
      </c>
      <c r="B37" s="65">
        <f t="shared" si="8"/>
        <v>846250.1</v>
      </c>
      <c r="C37" s="10">
        <f>'Monthly Revenue Req.'!R33</f>
        <v>892617.25891897478</v>
      </c>
      <c r="D37" s="10">
        <f t="shared" si="15"/>
        <v>-3973942.256728936</v>
      </c>
      <c r="E37" s="10">
        <f t="shared" si="9"/>
        <v>46367.158918974805</v>
      </c>
      <c r="F37" s="11">
        <f t="shared" si="10"/>
        <v>-3927575.0978099611</v>
      </c>
      <c r="G37" s="10">
        <f t="shared" si="11"/>
        <v>-3950758.6772694485</v>
      </c>
      <c r="H37" s="13">
        <v>0.28110000000000002</v>
      </c>
      <c r="I37" s="21">
        <f t="shared" si="12"/>
        <v>-1110558.26</v>
      </c>
      <c r="J37" s="10">
        <f t="shared" si="13"/>
        <v>-2840200.4172694487</v>
      </c>
      <c r="K37" s="56">
        <v>1.1599999999999999E-2</v>
      </c>
      <c r="L37" s="10">
        <f t="shared" si="14"/>
        <v>-32946.32</v>
      </c>
      <c r="M37" s="10">
        <f>SUM($L$9:L37)+F37</f>
        <v>-4069991.7578099612</v>
      </c>
    </row>
    <row r="38" spans="1:13" x14ac:dyDescent="0.3">
      <c r="A38" s="8">
        <v>44682</v>
      </c>
      <c r="B38" s="65">
        <f t="shared" si="8"/>
        <v>805668.8</v>
      </c>
      <c r="C38" s="10">
        <f>'Monthly Revenue Req.'!R34</f>
        <v>925514.66126124002</v>
      </c>
      <c r="D38" s="10">
        <f t="shared" si="15"/>
        <v>-3927575.0978099611</v>
      </c>
      <c r="E38" s="10">
        <f t="shared" si="9"/>
        <v>119845.86126123997</v>
      </c>
      <c r="F38" s="11">
        <f t="shared" si="10"/>
        <v>-3807729.2365487209</v>
      </c>
      <c r="G38" s="10">
        <f t="shared" si="11"/>
        <v>-3867652.167179341</v>
      </c>
      <c r="H38" s="13">
        <v>0.28110000000000002</v>
      </c>
      <c r="I38" s="21">
        <f t="shared" si="12"/>
        <v>-1087197.02</v>
      </c>
      <c r="J38" s="10">
        <f t="shared" si="13"/>
        <v>-2780455.1471793409</v>
      </c>
      <c r="K38" s="56">
        <v>1.1599999999999999E-2</v>
      </c>
      <c r="L38" s="10">
        <f t="shared" si="14"/>
        <v>-32253.279999999999</v>
      </c>
      <c r="M38" s="10">
        <f>SUM($L$9:L38)+F38</f>
        <v>-3982399.1765487208</v>
      </c>
    </row>
    <row r="39" spans="1:13" ht="16.2" x14ac:dyDescent="0.45">
      <c r="A39" s="8">
        <v>44713</v>
      </c>
      <c r="B39" s="68">
        <f t="shared" si="8"/>
        <v>933763.36</v>
      </c>
      <c r="C39" s="20">
        <f>'Monthly Revenue Req.'!R35</f>
        <v>958291.63973793015</v>
      </c>
      <c r="D39" s="10">
        <f t="shared" si="15"/>
        <v>-3807729.2365487209</v>
      </c>
      <c r="E39" s="10">
        <f t="shared" si="9"/>
        <v>24528.279737930163</v>
      </c>
      <c r="F39" s="11">
        <f t="shared" si="10"/>
        <v>-3783200.9568107906</v>
      </c>
      <c r="G39" s="10">
        <f t="shared" si="11"/>
        <v>-3795465.0966797555</v>
      </c>
      <c r="H39" s="13">
        <v>0.28110000000000002</v>
      </c>
      <c r="I39" s="21">
        <f t="shared" si="12"/>
        <v>-1066905.24</v>
      </c>
      <c r="J39" s="10">
        <f t="shared" si="13"/>
        <v>-2728559.8566797553</v>
      </c>
      <c r="K39" s="56">
        <v>1.1599999999999999E-2</v>
      </c>
      <c r="L39" s="20">
        <f t="shared" si="14"/>
        <v>-31651.29</v>
      </c>
      <c r="M39" s="63">
        <f>SUM($L$9:L39)+F39</f>
        <v>-3989522.1868107906</v>
      </c>
    </row>
    <row r="40" spans="1:13" x14ac:dyDescent="0.3">
      <c r="A40" s="9" t="s">
        <v>3</v>
      </c>
      <c r="B40" s="65">
        <f>SUM(B34:B39)</f>
        <v>5443579.0300000003</v>
      </c>
      <c r="C40" s="65">
        <f>SUM(C34:C39)</f>
        <v>5255683.6671839673</v>
      </c>
      <c r="L40" s="12">
        <f>SUM(L34:L39)</f>
        <v>-192754.31</v>
      </c>
    </row>
    <row r="42" spans="1:13" x14ac:dyDescent="0.3">
      <c r="A42" t="s">
        <v>79</v>
      </c>
    </row>
  </sheetData>
  <mergeCells count="1">
    <mergeCell ref="B18:D18"/>
  </mergeCells>
  <pageMargins left="0.7" right="0.7" top="0.75" bottom="0.75" header="0.3" footer="0.3"/>
  <pageSetup scale="7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24193-A992-4875-99AD-716D7AF4240A}">
  <sheetPr>
    <pageSetUpPr fitToPage="1"/>
  </sheetPr>
  <dimension ref="A1:R28"/>
  <sheetViews>
    <sheetView workbookViewId="0">
      <selection activeCell="H25" sqref="H25"/>
    </sheetView>
  </sheetViews>
  <sheetFormatPr defaultRowHeight="14.4" x14ac:dyDescent="0.3"/>
  <cols>
    <col min="2" max="4" width="17" bestFit="1" customWidth="1"/>
    <col min="5" max="5" width="12.109375" bestFit="1" customWidth="1"/>
    <col min="6" max="6" width="11.109375" bestFit="1" customWidth="1"/>
    <col min="7" max="7" width="11.88671875" bestFit="1" customWidth="1"/>
    <col min="8" max="8" width="11.44140625" customWidth="1"/>
    <col min="9" max="9" width="11" bestFit="1" customWidth="1"/>
    <col min="10" max="10" width="11.88671875" bestFit="1" customWidth="1"/>
    <col min="11" max="12" width="12.5546875" bestFit="1" customWidth="1"/>
    <col min="13" max="13" width="13.6640625" customWidth="1"/>
    <col min="14" max="14" width="12.5546875" bestFit="1" customWidth="1"/>
    <col min="15" max="16" width="11" bestFit="1" customWidth="1"/>
    <col min="17" max="17" width="12.109375" bestFit="1" customWidth="1"/>
    <col min="18" max="18" width="11.88671875" bestFit="1" customWidth="1"/>
  </cols>
  <sheetData>
    <row r="1" spans="1:18" ht="15.6" x14ac:dyDescent="0.3">
      <c r="A1" s="6" t="s">
        <v>0</v>
      </c>
    </row>
    <row r="2" spans="1:18" ht="15.6" x14ac:dyDescent="0.3">
      <c r="A2" s="7" t="s">
        <v>1</v>
      </c>
    </row>
    <row r="3" spans="1:18" x14ac:dyDescent="0.3">
      <c r="A3" s="3" t="s">
        <v>80</v>
      </c>
    </row>
    <row r="6" spans="1:18" ht="15.6" x14ac:dyDescent="0.3">
      <c r="A6" s="7"/>
      <c r="B6" s="73" t="s">
        <v>17</v>
      </c>
      <c r="C6" s="73"/>
      <c r="D6" s="73"/>
      <c r="E6" s="73"/>
      <c r="F6" s="73"/>
      <c r="G6" s="73"/>
      <c r="H6" s="73"/>
      <c r="I6" s="73"/>
      <c r="J6" s="73"/>
      <c r="K6" s="2"/>
      <c r="L6" s="73" t="s">
        <v>18</v>
      </c>
      <c r="M6" s="73"/>
      <c r="N6" s="73"/>
    </row>
    <row r="7" spans="1:18" x14ac:dyDescent="0.3">
      <c r="C7" s="2" t="s">
        <v>19</v>
      </c>
      <c r="D7" s="2" t="s">
        <v>20</v>
      </c>
      <c r="F7" s="2" t="s">
        <v>19</v>
      </c>
      <c r="G7" s="2" t="s">
        <v>20</v>
      </c>
    </row>
    <row r="8" spans="1:18" ht="15" thickBot="1" x14ac:dyDescent="0.35">
      <c r="B8" s="2" t="s">
        <v>20</v>
      </c>
      <c r="C8" s="2" t="s">
        <v>20</v>
      </c>
      <c r="D8" s="2" t="s">
        <v>21</v>
      </c>
      <c r="E8" s="2" t="s">
        <v>22</v>
      </c>
      <c r="F8" s="2" t="s">
        <v>22</v>
      </c>
      <c r="G8" s="2" t="s">
        <v>23</v>
      </c>
      <c r="K8" s="2" t="s">
        <v>24</v>
      </c>
      <c r="N8" s="3" t="s">
        <v>25</v>
      </c>
    </row>
    <row r="9" spans="1:18" ht="15" thickBot="1" x14ac:dyDescent="0.35">
      <c r="B9" s="2" t="s">
        <v>21</v>
      </c>
      <c r="C9" s="2" t="s">
        <v>21</v>
      </c>
      <c r="D9" s="2" t="s">
        <v>26</v>
      </c>
      <c r="E9" s="2" t="s">
        <v>27</v>
      </c>
      <c r="F9" s="2" t="s">
        <v>27</v>
      </c>
      <c r="G9" s="2" t="s">
        <v>28</v>
      </c>
      <c r="I9" s="2" t="s">
        <v>19</v>
      </c>
      <c r="J9" s="2" t="s">
        <v>3</v>
      </c>
      <c r="K9" s="2" t="s">
        <v>3</v>
      </c>
      <c r="L9" s="2" t="s">
        <v>29</v>
      </c>
      <c r="M9" s="2" t="s">
        <v>30</v>
      </c>
      <c r="N9" s="2" t="s">
        <v>31</v>
      </c>
      <c r="P9" s="16">
        <v>7.7812216821069235E-3</v>
      </c>
      <c r="Q9" s="15" t="s">
        <v>32</v>
      </c>
    </row>
    <row r="10" spans="1:18" x14ac:dyDescent="0.3">
      <c r="B10" s="2" t="s">
        <v>26</v>
      </c>
      <c r="C10" s="2" t="s">
        <v>26</v>
      </c>
      <c r="D10" s="2" t="s">
        <v>33</v>
      </c>
      <c r="E10" s="2" t="s">
        <v>28</v>
      </c>
      <c r="F10" s="2" t="s">
        <v>28</v>
      </c>
      <c r="G10" s="2" t="s">
        <v>34</v>
      </c>
      <c r="H10" s="2" t="s">
        <v>3</v>
      </c>
      <c r="I10" s="2" t="s">
        <v>3</v>
      </c>
      <c r="J10" s="2" t="s">
        <v>34</v>
      </c>
      <c r="K10" s="2" t="s">
        <v>34</v>
      </c>
      <c r="L10" s="2" t="s">
        <v>34</v>
      </c>
      <c r="M10" s="2" t="s">
        <v>35</v>
      </c>
      <c r="N10" s="2" t="s">
        <v>35</v>
      </c>
      <c r="O10" s="2" t="s">
        <v>36</v>
      </c>
      <c r="P10" s="2" t="s">
        <v>37</v>
      </c>
      <c r="Q10" s="2" t="s">
        <v>38</v>
      </c>
      <c r="R10" s="2" t="s">
        <v>39</v>
      </c>
    </row>
    <row r="11" spans="1:18" x14ac:dyDescent="0.3">
      <c r="A11" s="69" t="s">
        <v>9</v>
      </c>
      <c r="B11" s="17" t="s">
        <v>40</v>
      </c>
      <c r="C11" s="17" t="s">
        <v>40</v>
      </c>
      <c r="D11" s="17" t="s">
        <v>41</v>
      </c>
      <c r="E11" s="17" t="s">
        <v>40</v>
      </c>
      <c r="F11" s="17" t="s">
        <v>40</v>
      </c>
      <c r="G11" s="17" t="s">
        <v>41</v>
      </c>
      <c r="H11" s="17" t="s">
        <v>40</v>
      </c>
      <c r="I11" s="17" t="s">
        <v>40</v>
      </c>
      <c r="J11" s="17" t="s">
        <v>41</v>
      </c>
      <c r="K11" s="17" t="s">
        <v>41</v>
      </c>
      <c r="L11" s="17" t="s">
        <v>41</v>
      </c>
      <c r="M11" s="17" t="s">
        <v>29</v>
      </c>
      <c r="N11" s="17" t="s">
        <v>29</v>
      </c>
      <c r="O11" s="17" t="s">
        <v>40</v>
      </c>
      <c r="P11" s="17" t="s">
        <v>42</v>
      </c>
      <c r="Q11" s="17" t="s">
        <v>41</v>
      </c>
      <c r="R11" s="17" t="s">
        <v>43</v>
      </c>
    </row>
    <row r="12" spans="1:18" x14ac:dyDescent="0.3">
      <c r="A12" s="8">
        <v>44742</v>
      </c>
      <c r="C12" s="10">
        <f>'Monthly Revenue Req.'!C35</f>
        <v>16801845.125</v>
      </c>
      <c r="F12" s="10">
        <f>'Monthly Revenue Req.'!F35</f>
        <v>791269.61500000022</v>
      </c>
      <c r="I12" s="65">
        <f>F12+C12</f>
        <v>17593114.740000002</v>
      </c>
      <c r="K12" s="10">
        <f>'Monthly Revenue Req.'!K35</f>
        <v>1182184.3043749998</v>
      </c>
      <c r="N12" s="10">
        <f>'Monthly Revenue Req.'!N35</f>
        <v>4613112.5454541883</v>
      </c>
    </row>
    <row r="13" spans="1:18" x14ac:dyDescent="0.3">
      <c r="A13" s="8">
        <v>44743</v>
      </c>
      <c r="B13" s="10">
        <v>4512993.157861325</v>
      </c>
      <c r="C13" s="65">
        <f>C12+B13</f>
        <v>21314838.282861326</v>
      </c>
      <c r="D13" s="10">
        <f>+ROUND(C13/10/12,0)</f>
        <v>177624</v>
      </c>
      <c r="E13" s="11">
        <f>1839239.55721162/12</f>
        <v>153269.96310096834</v>
      </c>
      <c r="F13" s="65">
        <f>F12+E13</f>
        <v>944539.57810096862</v>
      </c>
      <c r="G13" s="10">
        <f>'Monthly Revenue Req.'!Z76</f>
        <v>78711.631458333344</v>
      </c>
      <c r="H13" s="10">
        <f t="shared" ref="H13:H24" si="0">E13+B13</f>
        <v>4666263.1209622929</v>
      </c>
      <c r="I13" s="65">
        <f>I12+H13</f>
        <v>22259377.860962294</v>
      </c>
      <c r="J13" s="10">
        <f>+G13+D13</f>
        <v>256335.63145833334</v>
      </c>
      <c r="K13" s="65">
        <f>J13+K12</f>
        <v>1438519.9358333331</v>
      </c>
      <c r="L13" s="10">
        <f>+H13</f>
        <v>4666263.1209622929</v>
      </c>
      <c r="M13" s="10">
        <f>(L13-J13)*0.2811</f>
        <v>1239630.617299563</v>
      </c>
      <c r="N13" s="65">
        <f>N12+M13</f>
        <v>5852743.1627537515</v>
      </c>
      <c r="O13" s="10">
        <f>+I13-K13-N13</f>
        <v>14968114.762375208</v>
      </c>
      <c r="P13" s="10">
        <f>O13*$P$9</f>
        <v>116470.21912925869</v>
      </c>
      <c r="Q13" s="10">
        <v>734723.1661419929</v>
      </c>
      <c r="R13" s="10">
        <f>+Q13+P13+J13</f>
        <v>1107529.0167295849</v>
      </c>
    </row>
    <row r="14" spans="1:18" x14ac:dyDescent="0.3">
      <c r="A14" s="8">
        <v>44774</v>
      </c>
      <c r="B14" s="10">
        <v>4512993.157861325</v>
      </c>
      <c r="C14" s="65">
        <f t="shared" ref="C14:C24" si="1">C13+B14</f>
        <v>25827831.440722652</v>
      </c>
      <c r="D14" s="10">
        <f t="shared" ref="D14:D24" si="2">+ROUND(C14/10/12,0)</f>
        <v>215232</v>
      </c>
      <c r="E14" s="10">
        <f t="shared" ref="E14:E24" si="3">1839239.55721162/12</f>
        <v>153269.96310096834</v>
      </c>
      <c r="F14" s="65">
        <f t="shared" ref="F14:F24" si="4">F13+E14</f>
        <v>1097809.541201937</v>
      </c>
      <c r="G14" s="10">
        <f>'Monthly Revenue Req.'!Z77</f>
        <v>89317.461666666684</v>
      </c>
      <c r="H14" s="10">
        <f t="shared" si="0"/>
        <v>4666263.1209622929</v>
      </c>
      <c r="I14" s="65">
        <f t="shared" ref="I14:I24" si="5">I13+H14</f>
        <v>26925640.981924586</v>
      </c>
      <c r="J14" s="10">
        <f t="shared" ref="J14:J24" si="6">+G14+D14</f>
        <v>304549.46166666667</v>
      </c>
      <c r="K14" s="65">
        <f t="shared" ref="K14:K23" si="7">J14+K13</f>
        <v>1743069.3974999997</v>
      </c>
      <c r="L14" s="10">
        <f t="shared" ref="L14:L24" si="8">+H14</f>
        <v>4666263.1209622929</v>
      </c>
      <c r="M14" s="10">
        <f t="shared" ref="M14:M25" si="9">(L14-J14)*0.2811</f>
        <v>1226077.7096280006</v>
      </c>
      <c r="N14" s="65">
        <f t="shared" ref="N14:N24" si="10">N13+M14</f>
        <v>7078820.8723817524</v>
      </c>
      <c r="O14" s="10">
        <f t="shared" ref="O14:O24" si="11">+I14-K14-N14</f>
        <v>18103750.712042831</v>
      </c>
      <c r="P14" s="10">
        <f t="shared" ref="P14:P24" si="12">O14*$P$9</f>
        <v>140869.29756800632</v>
      </c>
      <c r="Q14" s="10">
        <v>734723.1661419929</v>
      </c>
      <c r="R14" s="10">
        <f t="shared" ref="R14:R24" si="13">+Q14+P14+J14</f>
        <v>1180141.9253766658</v>
      </c>
    </row>
    <row r="15" spans="1:18" x14ac:dyDescent="0.3">
      <c r="A15" s="8">
        <v>44805</v>
      </c>
      <c r="B15" s="10">
        <v>4512993.157861325</v>
      </c>
      <c r="C15" s="65">
        <f t="shared" si="1"/>
        <v>30340824.598583978</v>
      </c>
      <c r="D15" s="10">
        <f t="shared" si="2"/>
        <v>252840</v>
      </c>
      <c r="E15" s="10">
        <f t="shared" si="3"/>
        <v>153269.96310096834</v>
      </c>
      <c r="F15" s="65">
        <f t="shared" si="4"/>
        <v>1251079.5043029054</v>
      </c>
      <c r="G15" s="10">
        <f>'Monthly Revenue Req.'!Z78</f>
        <v>59423.291874999988</v>
      </c>
      <c r="H15" s="10">
        <f t="shared" si="0"/>
        <v>4666263.1209622929</v>
      </c>
      <c r="I15" s="65">
        <f t="shared" si="5"/>
        <v>31591904.102886878</v>
      </c>
      <c r="J15" s="10">
        <f t="shared" si="6"/>
        <v>312263.291875</v>
      </c>
      <c r="K15" s="65">
        <f t="shared" si="7"/>
        <v>2055332.6893749996</v>
      </c>
      <c r="L15" s="10">
        <f t="shared" si="8"/>
        <v>4666263.1209622929</v>
      </c>
      <c r="M15" s="10">
        <f t="shared" si="9"/>
        <v>1223909.351956438</v>
      </c>
      <c r="N15" s="65">
        <f t="shared" si="10"/>
        <v>8302730.2243381906</v>
      </c>
      <c r="O15" s="10">
        <f t="shared" si="11"/>
        <v>21233841.189173691</v>
      </c>
      <c r="P15" s="10">
        <f t="shared" si="12"/>
        <v>165225.2254556134</v>
      </c>
      <c r="Q15" s="10">
        <v>734723.1661419929</v>
      </c>
      <c r="R15" s="10">
        <f t="shared" si="13"/>
        <v>1212211.6834726064</v>
      </c>
    </row>
    <row r="16" spans="1:18" x14ac:dyDescent="0.3">
      <c r="A16" s="8">
        <v>44835</v>
      </c>
      <c r="B16" s="10">
        <v>4512993.157861325</v>
      </c>
      <c r="C16" s="65">
        <f t="shared" si="1"/>
        <v>34853817.756445304</v>
      </c>
      <c r="D16" s="10">
        <f t="shared" si="2"/>
        <v>290448</v>
      </c>
      <c r="E16" s="10">
        <f t="shared" si="3"/>
        <v>153269.96310096834</v>
      </c>
      <c r="F16" s="65">
        <f t="shared" si="4"/>
        <v>1404349.4674038738</v>
      </c>
      <c r="G16" s="10">
        <f>'Monthly Revenue Req.'!Z79</f>
        <v>71945.788749999992</v>
      </c>
      <c r="H16" s="10">
        <f t="shared" si="0"/>
        <v>4666263.1209622929</v>
      </c>
      <c r="I16" s="65">
        <f t="shared" si="5"/>
        <v>36258167.22384917</v>
      </c>
      <c r="J16" s="10">
        <f t="shared" si="6"/>
        <v>362393.78875000001</v>
      </c>
      <c r="K16" s="65">
        <f t="shared" si="7"/>
        <v>2417726.4781249994</v>
      </c>
      <c r="L16" s="10">
        <f t="shared" si="8"/>
        <v>4666263.1209622929</v>
      </c>
      <c r="M16" s="10">
        <f t="shared" si="9"/>
        <v>1209817.6692848755</v>
      </c>
      <c r="N16" s="65">
        <f t="shared" si="10"/>
        <v>9512547.8936230652</v>
      </c>
      <c r="O16" s="10">
        <f t="shared" si="11"/>
        <v>24327892.852101106</v>
      </c>
      <c r="P16" s="10">
        <f t="shared" si="12"/>
        <v>189300.72734074318</v>
      </c>
      <c r="Q16" s="10">
        <v>734723.1661419929</v>
      </c>
      <c r="R16" s="10">
        <f t="shared" si="13"/>
        <v>1286417.6822327361</v>
      </c>
    </row>
    <row r="17" spans="1:18" x14ac:dyDescent="0.3">
      <c r="A17" s="8">
        <v>44866</v>
      </c>
      <c r="B17" s="10">
        <v>4512993.157861325</v>
      </c>
      <c r="C17" s="65">
        <f t="shared" si="1"/>
        <v>39366810.914306626</v>
      </c>
      <c r="D17" s="10">
        <f t="shared" si="2"/>
        <v>328057</v>
      </c>
      <c r="E17" s="10">
        <f t="shared" si="3"/>
        <v>153269.96310096834</v>
      </c>
      <c r="F17" s="65">
        <f t="shared" si="4"/>
        <v>1557619.4305048422</v>
      </c>
      <c r="G17" s="10">
        <f>'Monthly Revenue Req.'!Z80</f>
        <v>84468.28562499999</v>
      </c>
      <c r="H17" s="10">
        <f t="shared" si="0"/>
        <v>4666263.1209622929</v>
      </c>
      <c r="I17" s="65">
        <f t="shared" si="5"/>
        <v>40924430.344811462</v>
      </c>
      <c r="J17" s="10">
        <f t="shared" si="6"/>
        <v>412525.28562500002</v>
      </c>
      <c r="K17" s="65">
        <f t="shared" si="7"/>
        <v>2830251.7637499995</v>
      </c>
      <c r="L17" s="10">
        <f t="shared" si="8"/>
        <v>4666263.1209622929</v>
      </c>
      <c r="M17" s="10">
        <f t="shared" si="9"/>
        <v>1195725.7055133129</v>
      </c>
      <c r="N17" s="65">
        <f t="shared" si="10"/>
        <v>10708273.599136379</v>
      </c>
      <c r="O17" s="10">
        <f t="shared" si="11"/>
        <v>27385904.981925081</v>
      </c>
      <c r="P17" s="10">
        <f t="shared" si="12"/>
        <v>213095.79762947545</v>
      </c>
      <c r="Q17" s="10">
        <v>734723.1661419929</v>
      </c>
      <c r="R17" s="10">
        <f t="shared" si="13"/>
        <v>1360344.2493964685</v>
      </c>
    </row>
    <row r="18" spans="1:18" x14ac:dyDescent="0.3">
      <c r="A18" s="8">
        <v>44896</v>
      </c>
      <c r="B18" s="10">
        <v>4512993.157861325</v>
      </c>
      <c r="C18" s="65">
        <f t="shared" si="1"/>
        <v>43879804.072167948</v>
      </c>
      <c r="D18" s="10">
        <f t="shared" si="2"/>
        <v>365665</v>
      </c>
      <c r="E18" s="10">
        <f t="shared" si="3"/>
        <v>153269.96310096834</v>
      </c>
      <c r="F18" s="65">
        <f t="shared" si="4"/>
        <v>1710889.3936058106</v>
      </c>
      <c r="G18" s="10">
        <f>'Monthly Revenue Req.'!Z81</f>
        <v>96990.782499999987</v>
      </c>
      <c r="H18" s="10">
        <f t="shared" si="0"/>
        <v>4666263.1209622929</v>
      </c>
      <c r="I18" s="65">
        <f t="shared" si="5"/>
        <v>45590693.465773754</v>
      </c>
      <c r="J18" s="10">
        <f t="shared" si="6"/>
        <v>462655.78249999997</v>
      </c>
      <c r="K18" s="65">
        <f t="shared" si="7"/>
        <v>3292907.5462499997</v>
      </c>
      <c r="L18" s="10">
        <f t="shared" si="8"/>
        <v>4666263.1209622929</v>
      </c>
      <c r="M18" s="10">
        <f t="shared" si="9"/>
        <v>1181634.0228417506</v>
      </c>
      <c r="N18" s="65">
        <f t="shared" si="10"/>
        <v>11889907.62197813</v>
      </c>
      <c r="O18" s="10">
        <f t="shared" si="11"/>
        <v>30407878.297545623</v>
      </c>
      <c r="P18" s="10">
        <f t="shared" si="12"/>
        <v>236610.44191573057</v>
      </c>
      <c r="Q18" s="10">
        <v>734723.1661419929</v>
      </c>
      <c r="R18" s="10">
        <f t="shared" si="13"/>
        <v>1433989.3905577236</v>
      </c>
    </row>
    <row r="19" spans="1:18" x14ac:dyDescent="0.3">
      <c r="A19" s="8">
        <v>44927</v>
      </c>
      <c r="B19" s="10">
        <v>4512993.157861325</v>
      </c>
      <c r="C19" s="65">
        <f t="shared" si="1"/>
        <v>48392797.23002927</v>
      </c>
      <c r="D19" s="10">
        <f t="shared" si="2"/>
        <v>403273</v>
      </c>
      <c r="E19" s="10">
        <f t="shared" si="3"/>
        <v>153269.96310096834</v>
      </c>
      <c r="F19" s="65">
        <f t="shared" si="4"/>
        <v>1864159.356706779</v>
      </c>
      <c r="G19" s="10">
        <f>'Monthly Revenue Req.'!Z82</f>
        <v>106370.64583333331</v>
      </c>
      <c r="H19" s="10">
        <f t="shared" si="0"/>
        <v>4666263.1209622929</v>
      </c>
      <c r="I19" s="65">
        <f t="shared" si="5"/>
        <v>50256956.586736046</v>
      </c>
      <c r="J19" s="10">
        <f t="shared" si="6"/>
        <v>509643.64583333331</v>
      </c>
      <c r="K19" s="65">
        <f t="shared" si="7"/>
        <v>3802551.1920833332</v>
      </c>
      <c r="L19" s="10">
        <f t="shared" si="8"/>
        <v>4666263.1209622929</v>
      </c>
      <c r="M19" s="10">
        <f t="shared" si="9"/>
        <v>1168425.7344587506</v>
      </c>
      <c r="N19" s="65">
        <f t="shared" si="10"/>
        <v>13058333.35643688</v>
      </c>
      <c r="O19" s="10">
        <f t="shared" si="11"/>
        <v>33396072.038215831</v>
      </c>
      <c r="P19" s="10">
        <f t="shared" si="12"/>
        <v>259862.23984096979</v>
      </c>
      <c r="Q19" s="10">
        <v>734723.1661419929</v>
      </c>
      <c r="R19" s="10">
        <f t="shared" si="13"/>
        <v>1504229.0518162961</v>
      </c>
    </row>
    <row r="20" spans="1:18" x14ac:dyDescent="0.3">
      <c r="A20" s="8">
        <v>44958</v>
      </c>
      <c r="B20" s="10">
        <v>4512993.157861325</v>
      </c>
      <c r="C20" s="65">
        <f t="shared" si="1"/>
        <v>52905790.387890592</v>
      </c>
      <c r="D20" s="10">
        <f t="shared" si="2"/>
        <v>440882</v>
      </c>
      <c r="E20" s="10">
        <f t="shared" si="3"/>
        <v>153269.96310096834</v>
      </c>
      <c r="F20" s="65">
        <f t="shared" si="4"/>
        <v>2017429.3198077474</v>
      </c>
      <c r="G20" s="10">
        <f>'Monthly Revenue Req.'!Z83</f>
        <v>115750.50916666666</v>
      </c>
      <c r="H20" s="10">
        <f t="shared" si="0"/>
        <v>4666263.1209622929</v>
      </c>
      <c r="I20" s="65">
        <f t="shared" si="5"/>
        <v>54923219.707698338</v>
      </c>
      <c r="J20" s="10">
        <f t="shared" si="6"/>
        <v>556632.50916666666</v>
      </c>
      <c r="K20" s="65">
        <f t="shared" si="7"/>
        <v>4359183.7012499999</v>
      </c>
      <c r="L20" s="10">
        <f t="shared" si="8"/>
        <v>4666263.1209622929</v>
      </c>
      <c r="M20" s="10">
        <f t="shared" si="9"/>
        <v>1155217.1649757505</v>
      </c>
      <c r="N20" s="65">
        <f t="shared" si="10"/>
        <v>14213550.521412631</v>
      </c>
      <c r="O20" s="10">
        <f t="shared" si="11"/>
        <v>36350485.485035703</v>
      </c>
      <c r="P20" s="10">
        <f t="shared" si="12"/>
        <v>282851.18581127282</v>
      </c>
      <c r="Q20" s="10">
        <v>734723.1661419929</v>
      </c>
      <c r="R20" s="10">
        <f t="shared" si="13"/>
        <v>1574206.8611199325</v>
      </c>
    </row>
    <row r="21" spans="1:18" x14ac:dyDescent="0.3">
      <c r="A21" s="8">
        <v>44986</v>
      </c>
      <c r="B21" s="10">
        <v>4512993.157861325</v>
      </c>
      <c r="C21" s="65">
        <f t="shared" si="1"/>
        <v>57418783.545751914</v>
      </c>
      <c r="D21" s="10">
        <f t="shared" si="2"/>
        <v>478490</v>
      </c>
      <c r="E21" s="10">
        <f t="shared" si="3"/>
        <v>153269.96310096834</v>
      </c>
      <c r="F21" s="65">
        <f t="shared" si="4"/>
        <v>2170699.2829087158</v>
      </c>
      <c r="G21" s="10">
        <f>'Monthly Revenue Req.'!Z84</f>
        <v>125130.37249999998</v>
      </c>
      <c r="H21" s="10">
        <f t="shared" si="0"/>
        <v>4666263.1209622929</v>
      </c>
      <c r="I21" s="65">
        <f t="shared" si="5"/>
        <v>59589482.82866063</v>
      </c>
      <c r="J21" s="10">
        <f t="shared" si="6"/>
        <v>603620.37249999994</v>
      </c>
      <c r="K21" s="65">
        <f t="shared" si="7"/>
        <v>4962804.0737499995</v>
      </c>
      <c r="L21" s="10">
        <f t="shared" si="8"/>
        <v>4666263.1209622929</v>
      </c>
      <c r="M21" s="10">
        <f t="shared" si="9"/>
        <v>1142008.8765927507</v>
      </c>
      <c r="N21" s="65">
        <f t="shared" si="10"/>
        <v>15355559.398005381</v>
      </c>
      <c r="O21" s="10">
        <f t="shared" si="11"/>
        <v>39271119.356905252</v>
      </c>
      <c r="P21" s="10">
        <f t="shared" si="12"/>
        <v>305577.28542056005</v>
      </c>
      <c r="Q21" s="10">
        <v>734723.1661419929</v>
      </c>
      <c r="R21" s="10">
        <f t="shared" si="13"/>
        <v>1643920.8240625528</v>
      </c>
    </row>
    <row r="22" spans="1:18" x14ac:dyDescent="0.3">
      <c r="A22" s="8">
        <v>45017</v>
      </c>
      <c r="B22" s="10">
        <v>4512993.157861325</v>
      </c>
      <c r="C22" s="65">
        <f t="shared" si="1"/>
        <v>61931776.703613237</v>
      </c>
      <c r="D22" s="10">
        <f t="shared" si="2"/>
        <v>516098</v>
      </c>
      <c r="E22" s="10">
        <f t="shared" si="3"/>
        <v>153269.96310096834</v>
      </c>
      <c r="F22" s="65">
        <f t="shared" si="4"/>
        <v>2323969.2460096842</v>
      </c>
      <c r="G22" s="10">
        <f>'Monthly Revenue Req.'!Z85</f>
        <v>134510.23583333331</v>
      </c>
      <c r="H22" s="10">
        <f t="shared" si="0"/>
        <v>4666263.1209622929</v>
      </c>
      <c r="I22" s="65">
        <f t="shared" si="5"/>
        <v>64255745.949622922</v>
      </c>
      <c r="J22" s="10">
        <f t="shared" si="6"/>
        <v>650608.23583333334</v>
      </c>
      <c r="K22" s="65">
        <f t="shared" si="7"/>
        <v>5613412.3095833324</v>
      </c>
      <c r="L22" s="10">
        <f t="shared" si="8"/>
        <v>4666263.1209622929</v>
      </c>
      <c r="M22" s="10">
        <f t="shared" si="9"/>
        <v>1128800.5882097506</v>
      </c>
      <c r="N22" s="65">
        <f t="shared" si="10"/>
        <v>16484359.986215131</v>
      </c>
      <c r="O22" s="10">
        <f t="shared" si="11"/>
        <v>42157973.653824463</v>
      </c>
      <c r="P22" s="10">
        <f t="shared" si="12"/>
        <v>328040.53866883134</v>
      </c>
      <c r="Q22" s="10">
        <v>734723.1661419929</v>
      </c>
      <c r="R22" s="10">
        <f t="shared" si="13"/>
        <v>1713371.9406441576</v>
      </c>
    </row>
    <row r="23" spans="1:18" x14ac:dyDescent="0.3">
      <c r="A23" s="8">
        <v>45047</v>
      </c>
      <c r="B23" s="10">
        <v>4512993.157861325</v>
      </c>
      <c r="C23" s="65">
        <f t="shared" si="1"/>
        <v>66444769.861474559</v>
      </c>
      <c r="D23" s="10">
        <f t="shared" si="2"/>
        <v>553706</v>
      </c>
      <c r="E23" s="10">
        <f t="shared" si="3"/>
        <v>153269.96310096834</v>
      </c>
      <c r="F23" s="65">
        <f t="shared" si="4"/>
        <v>2477239.2091106526</v>
      </c>
      <c r="G23" s="10">
        <f>'Monthly Revenue Req.'!Z86</f>
        <v>143890.09916666665</v>
      </c>
      <c r="H23" s="10">
        <f t="shared" si="0"/>
        <v>4666263.1209622929</v>
      </c>
      <c r="I23" s="65">
        <f t="shared" si="5"/>
        <v>68922009.070585221</v>
      </c>
      <c r="J23" s="10">
        <f t="shared" si="6"/>
        <v>697596.09916666662</v>
      </c>
      <c r="K23" s="65">
        <f t="shared" si="7"/>
        <v>6311008.4087499995</v>
      </c>
      <c r="L23" s="10">
        <f t="shared" si="8"/>
        <v>4666263.1209622929</v>
      </c>
      <c r="M23" s="10">
        <f t="shared" si="9"/>
        <v>1115592.2998267505</v>
      </c>
      <c r="N23" s="65">
        <f t="shared" si="10"/>
        <v>17599952.286041882</v>
      </c>
      <c r="O23" s="10">
        <f t="shared" si="11"/>
        <v>45011048.375793338</v>
      </c>
      <c r="P23" s="10">
        <f t="shared" si="12"/>
        <v>350240.94555608672</v>
      </c>
      <c r="Q23" s="10">
        <v>734723.1661419929</v>
      </c>
      <c r="R23" s="10">
        <f t="shared" si="13"/>
        <v>1782560.2108647462</v>
      </c>
    </row>
    <row r="24" spans="1:18" ht="16.2" x14ac:dyDescent="0.45">
      <c r="A24" s="8">
        <v>45078</v>
      </c>
      <c r="B24" s="20">
        <v>4512993.157861325</v>
      </c>
      <c r="C24" s="65">
        <f t="shared" si="1"/>
        <v>70957763.019335881</v>
      </c>
      <c r="D24" s="20">
        <f t="shared" si="2"/>
        <v>591315</v>
      </c>
      <c r="E24" s="20">
        <f t="shared" si="3"/>
        <v>153269.96310096834</v>
      </c>
      <c r="F24" s="65">
        <f t="shared" si="4"/>
        <v>2630509.172211621</v>
      </c>
      <c r="G24" s="20">
        <f>'Monthly Revenue Req.'!Z87</f>
        <v>153269.96249999999</v>
      </c>
      <c r="H24" s="20">
        <f t="shared" si="0"/>
        <v>4666263.1209622929</v>
      </c>
      <c r="I24" s="65">
        <f t="shared" si="5"/>
        <v>73588272.191547513</v>
      </c>
      <c r="J24" s="20">
        <f t="shared" si="6"/>
        <v>744584.96250000002</v>
      </c>
      <c r="K24" s="65">
        <f>J24+K23</f>
        <v>7055593.3712499999</v>
      </c>
      <c r="L24" s="20">
        <f t="shared" si="8"/>
        <v>4666263.1209622929</v>
      </c>
      <c r="M24" s="20">
        <f t="shared" si="9"/>
        <v>1102383.7303437507</v>
      </c>
      <c r="N24" s="65">
        <f t="shared" si="10"/>
        <v>18702336.016385633</v>
      </c>
      <c r="O24" s="10">
        <f t="shared" si="11"/>
        <v>47830342.80391188</v>
      </c>
      <c r="P24" s="20">
        <f t="shared" si="12"/>
        <v>372178.50048840599</v>
      </c>
      <c r="Q24" s="20">
        <v>734723.1661419929</v>
      </c>
      <c r="R24" s="20">
        <f t="shared" si="13"/>
        <v>1851486.6291303989</v>
      </c>
    </row>
    <row r="25" spans="1:18" x14ac:dyDescent="0.3">
      <c r="A25" s="9" t="s">
        <v>3</v>
      </c>
      <c r="B25" s="65">
        <f>SUM(B13:B24)</f>
        <v>54155917.894335888</v>
      </c>
      <c r="D25" s="12">
        <f>SUM(D13:D24)</f>
        <v>4613630</v>
      </c>
      <c r="E25" s="12">
        <f>SUM(E13:E24)</f>
        <v>1839239.5572116205</v>
      </c>
      <c r="G25" s="65">
        <f>SUM(G13:G24)</f>
        <v>1259779.0668749998</v>
      </c>
      <c r="H25" s="65">
        <f>SUM(H13:H24)</f>
        <v>55995157.451547511</v>
      </c>
      <c r="J25" s="65">
        <f>SUM(J13:J24)</f>
        <v>5873409.0668750014</v>
      </c>
      <c r="L25" s="65">
        <f>SUM(L13:L24)</f>
        <v>55995157.451547511</v>
      </c>
      <c r="M25" s="10">
        <f t="shared" si="9"/>
        <v>14089223.470931442</v>
      </c>
      <c r="P25" s="65">
        <f>SUM(P13:P24)</f>
        <v>2960322.4048249545</v>
      </c>
      <c r="Q25" s="65">
        <f>SUM(Q13:Q24)</f>
        <v>8816677.9937039129</v>
      </c>
      <c r="R25" s="65">
        <f>SUM(R13:R24)</f>
        <v>17650409.46540387</v>
      </c>
    </row>
    <row r="27" spans="1:18" x14ac:dyDescent="0.3">
      <c r="H27" s="65"/>
    </row>
    <row r="28" spans="1:18" x14ac:dyDescent="0.3">
      <c r="D28" s="71"/>
    </row>
  </sheetData>
  <mergeCells count="2">
    <mergeCell ref="B6:J6"/>
    <mergeCell ref="L6:N6"/>
  </mergeCells>
  <pageMargins left="0.7" right="0.7" top="0.75" bottom="0.75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1FE67-6822-43C4-84C8-4D4D4239D76B}">
  <dimension ref="A1:E21"/>
  <sheetViews>
    <sheetView topLeftCell="A9" workbookViewId="0">
      <selection activeCell="C36" sqref="C36"/>
    </sheetView>
  </sheetViews>
  <sheetFormatPr defaultRowHeight="14.4" x14ac:dyDescent="0.3"/>
  <cols>
    <col min="2" max="2" width="48" bestFit="1" customWidth="1"/>
    <col min="3" max="3" width="17.33203125" bestFit="1" customWidth="1"/>
    <col min="5" max="5" width="14.33203125" bestFit="1" customWidth="1"/>
  </cols>
  <sheetData>
    <row r="1" spans="1:3" ht="15.6" x14ac:dyDescent="0.3">
      <c r="A1" s="6" t="s">
        <v>0</v>
      </c>
    </row>
    <row r="2" spans="1:3" ht="15.6" x14ac:dyDescent="0.3">
      <c r="A2" s="7" t="s">
        <v>1</v>
      </c>
    </row>
    <row r="3" spans="1:3" ht="15.6" x14ac:dyDescent="0.3">
      <c r="A3" s="7" t="s">
        <v>81</v>
      </c>
    </row>
    <row r="4" spans="1:3" ht="15.6" x14ac:dyDescent="0.3">
      <c r="A4" s="7" t="s">
        <v>82</v>
      </c>
    </row>
    <row r="8" spans="1:3" x14ac:dyDescent="0.3">
      <c r="C8" s="25">
        <v>44743</v>
      </c>
    </row>
    <row r="9" spans="1:3" x14ac:dyDescent="0.3">
      <c r="C9" s="2" t="s">
        <v>83</v>
      </c>
    </row>
    <row r="10" spans="1:3" x14ac:dyDescent="0.3">
      <c r="A10" t="s">
        <v>84</v>
      </c>
      <c r="C10" s="25">
        <v>45107</v>
      </c>
    </row>
    <row r="11" spans="1:3" x14ac:dyDescent="0.3">
      <c r="A11" s="1">
        <v>1</v>
      </c>
      <c r="B11" t="s">
        <v>85</v>
      </c>
      <c r="C11" s="11">
        <f>'Projected Rev. Req'!J25</f>
        <v>5873409.0668750014</v>
      </c>
    </row>
    <row r="12" spans="1:3" x14ac:dyDescent="0.3">
      <c r="A12" s="1">
        <f>A11+1</f>
        <v>2</v>
      </c>
      <c r="B12" t="s">
        <v>86</v>
      </c>
      <c r="C12" s="10">
        <f>'Projected Rev. Req'!P25</f>
        <v>2960322.4048249545</v>
      </c>
    </row>
    <row r="13" spans="1:3" ht="16.2" x14ac:dyDescent="0.45">
      <c r="A13" s="1">
        <f t="shared" ref="A13:A14" si="0">A12+1</f>
        <v>3</v>
      </c>
      <c r="B13" t="s">
        <v>87</v>
      </c>
      <c r="C13" s="20">
        <f>'Projected Rev. Req'!Q25</f>
        <v>8816677.9937039129</v>
      </c>
    </row>
    <row r="14" spans="1:3" x14ac:dyDescent="0.3">
      <c r="A14" s="1">
        <f t="shared" si="0"/>
        <v>4</v>
      </c>
      <c r="B14" t="s">
        <v>88</v>
      </c>
      <c r="C14" s="11">
        <f>SUM(C11:C13)</f>
        <v>17650409.46540387</v>
      </c>
    </row>
    <row r="16" spans="1:3" ht="30.6" x14ac:dyDescent="0.45">
      <c r="A16" s="1">
        <f>A14+1</f>
        <v>5</v>
      </c>
      <c r="B16" s="4" t="s">
        <v>89</v>
      </c>
      <c r="C16" s="22">
        <f>Reconciliation!M39</f>
        <v>-3989522.1868107906</v>
      </c>
    </row>
    <row r="17" spans="1:5" x14ac:dyDescent="0.3">
      <c r="A17" s="1">
        <f>A16+1</f>
        <v>6</v>
      </c>
      <c r="B17" t="s">
        <v>90</v>
      </c>
      <c r="C17" s="12">
        <f>SUM(C14:C16)</f>
        <v>13660887.278593078</v>
      </c>
    </row>
    <row r="18" spans="1:5" x14ac:dyDescent="0.3">
      <c r="A18" s="1">
        <f>A17+1</f>
        <v>7</v>
      </c>
      <c r="B18" t="s">
        <v>91</v>
      </c>
      <c r="C18" s="10">
        <f>'kwh forecast'!H223/1000</f>
        <v>19687512.295599997</v>
      </c>
    </row>
    <row r="19" spans="1:5" ht="15" thickBot="1" x14ac:dyDescent="0.35">
      <c r="A19" s="1">
        <f t="shared" ref="A19:A21" si="1">A18+1</f>
        <v>8</v>
      </c>
      <c r="B19" t="s">
        <v>92</v>
      </c>
      <c r="C19" s="24">
        <f>ROUND(C17/C18,6)/1000</f>
        <v>6.93886E-4</v>
      </c>
    </row>
    <row r="20" spans="1:5" ht="15" thickBot="1" x14ac:dyDescent="0.35">
      <c r="A20" s="1">
        <f t="shared" si="1"/>
        <v>9</v>
      </c>
      <c r="B20" t="s">
        <v>93</v>
      </c>
      <c r="C20" s="23">
        <f>ROUND(C19*(1+0.06625),6)</f>
        <v>7.3999999999999999E-4</v>
      </c>
      <c r="E20" s="72"/>
    </row>
    <row r="21" spans="1:5" x14ac:dyDescent="0.3">
      <c r="A21" s="1">
        <f t="shared" si="1"/>
        <v>10</v>
      </c>
      <c r="B21" t="s">
        <v>94</v>
      </c>
      <c r="C21" s="11">
        <f>+C19*C18*1000</f>
        <v>13660889.1567447</v>
      </c>
      <c r="E21" s="71"/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56F81-B83A-4428-93E2-C630AF121C79}">
  <sheetPr>
    <pageSetUpPr fitToPage="1"/>
  </sheetPr>
  <dimension ref="A1:N32"/>
  <sheetViews>
    <sheetView workbookViewId="0">
      <selection activeCell="Q24" sqref="Q24"/>
    </sheetView>
  </sheetViews>
  <sheetFormatPr defaultRowHeight="14.4" x14ac:dyDescent="0.3"/>
  <cols>
    <col min="1" max="1" width="61.88671875" customWidth="1"/>
    <col min="2" max="6" width="9" hidden="1" customWidth="1"/>
    <col min="7" max="7" width="1.33203125" hidden="1" customWidth="1"/>
    <col min="8" max="12" width="11.6640625" bestFit="1" customWidth="1"/>
    <col min="13" max="13" width="10.6640625" bestFit="1" customWidth="1"/>
    <col min="14" max="14" width="13.33203125" bestFit="1" customWidth="1"/>
  </cols>
  <sheetData>
    <row r="1" spans="1:14" ht="15.6" x14ac:dyDescent="0.3">
      <c r="A1" s="6" t="s">
        <v>0</v>
      </c>
    </row>
    <row r="2" spans="1:14" ht="15.6" x14ac:dyDescent="0.3">
      <c r="A2" s="7" t="s">
        <v>1</v>
      </c>
    </row>
    <row r="3" spans="1:14" ht="15.6" x14ac:dyDescent="0.3">
      <c r="A3" s="7" t="s">
        <v>95</v>
      </c>
    </row>
    <row r="6" spans="1:14" ht="15" thickBot="1" x14ac:dyDescent="0.35">
      <c r="B6" s="75">
        <f>'[1]Control Sheet'!$F$2</f>
        <v>2021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ht="15" thickBot="1" x14ac:dyDescent="0.35">
      <c r="B7" s="48" t="s">
        <v>96</v>
      </c>
      <c r="C7" s="49" t="s">
        <v>97</v>
      </c>
      <c r="D7" s="49" t="s">
        <v>98</v>
      </c>
      <c r="E7" s="49" t="s">
        <v>99</v>
      </c>
      <c r="F7" s="49" t="s">
        <v>100</v>
      </c>
      <c r="G7" s="49" t="s">
        <v>101</v>
      </c>
      <c r="H7" s="49" t="s">
        <v>102</v>
      </c>
      <c r="I7" s="49" t="s">
        <v>103</v>
      </c>
      <c r="J7" s="49" t="s">
        <v>104</v>
      </c>
      <c r="K7" s="49" t="s">
        <v>105</v>
      </c>
      <c r="L7" s="49" t="s">
        <v>106</v>
      </c>
      <c r="M7" s="50" t="s">
        <v>107</v>
      </c>
      <c r="N7" s="51" t="s">
        <v>108</v>
      </c>
    </row>
    <row r="8" spans="1:14" ht="15" thickBot="1" x14ac:dyDescent="0.35">
      <c r="A8" s="34" t="s">
        <v>109</v>
      </c>
    </row>
    <row r="9" spans="1:14" x14ac:dyDescent="0.3">
      <c r="A9" s="28" t="s">
        <v>110</v>
      </c>
      <c r="B9" s="46">
        <v>0</v>
      </c>
      <c r="C9" s="35">
        <v>0</v>
      </c>
      <c r="D9" s="35">
        <v>0</v>
      </c>
      <c r="E9" s="35">
        <v>0</v>
      </c>
      <c r="F9" s="35">
        <v>0</v>
      </c>
      <c r="G9" s="46">
        <v>0</v>
      </c>
      <c r="H9" s="35">
        <f>Reconciliation!E9</f>
        <v>-348094.17631128459</v>
      </c>
      <c r="I9" s="35">
        <f>Reconciliation!E10</f>
        <v>-940794.45427909261</v>
      </c>
      <c r="J9" s="35">
        <f>Reconciliation!E11</f>
        <v>-859898.09268347244</v>
      </c>
      <c r="K9" s="35">
        <f>Reconciliation!E12</f>
        <v>-535683.61209088471</v>
      </c>
      <c r="L9" s="35">
        <f>Reconciliation!E13</f>
        <v>-417829.68062304327</v>
      </c>
      <c r="M9" s="57">
        <f>Reconciliation!E14</f>
        <v>-493005.57800698094</v>
      </c>
      <c r="N9" s="36">
        <f>SUM(B9:M9)</f>
        <v>-3595305.5939947586</v>
      </c>
    </row>
    <row r="10" spans="1:14" ht="15" thickBot="1" x14ac:dyDescent="0.35">
      <c r="A10" s="37" t="s">
        <v>111</v>
      </c>
      <c r="B10" s="47">
        <v>0</v>
      </c>
      <c r="C10" s="38">
        <v>0</v>
      </c>
      <c r="D10" s="38">
        <v>0</v>
      </c>
      <c r="E10" s="38">
        <v>0</v>
      </c>
      <c r="F10" s="38">
        <v>0</v>
      </c>
      <c r="G10" s="47">
        <v>0</v>
      </c>
      <c r="H10" s="38">
        <f>-H9</f>
        <v>348094.17631128459</v>
      </c>
      <c r="I10" s="38">
        <f t="shared" ref="I10:M10" si="0">-I9</f>
        <v>940794.45427909261</v>
      </c>
      <c r="J10" s="38">
        <f t="shared" si="0"/>
        <v>859898.09268347244</v>
      </c>
      <c r="K10" s="38">
        <f t="shared" si="0"/>
        <v>535683.61209088471</v>
      </c>
      <c r="L10" s="38">
        <f t="shared" si="0"/>
        <v>417829.68062304327</v>
      </c>
      <c r="M10" s="38">
        <f t="shared" si="0"/>
        <v>493005.57800698094</v>
      </c>
      <c r="N10" s="39">
        <f>SUM(B10:M10)</f>
        <v>3595305.5939947586</v>
      </c>
    </row>
    <row r="11" spans="1:14" ht="15" thickBot="1" x14ac:dyDescent="0.35">
      <c r="A11" s="27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4"/>
      <c r="N11" s="10"/>
    </row>
    <row r="12" spans="1:14" ht="15" thickBot="1" x14ac:dyDescent="0.35">
      <c r="A12" s="34" t="s">
        <v>112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57"/>
      <c r="N12" s="36"/>
    </row>
    <row r="13" spans="1:14" x14ac:dyDescent="0.3">
      <c r="A13" s="53" t="s">
        <v>113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f>Reconciliation!L9</f>
        <v>-88.63</v>
      </c>
      <c r="I13" s="52">
        <f>Reconciliation!L10</f>
        <v>-377.57</v>
      </c>
      <c r="J13" s="52">
        <f>Reconciliation!L11</f>
        <v>-823.78</v>
      </c>
      <c r="K13" s="52">
        <f>Reconciliation!L12</f>
        <v>-1259.55</v>
      </c>
      <c r="L13" s="52">
        <f>Reconciliation!L13</f>
        <v>-1906.72</v>
      </c>
      <c r="M13" s="58">
        <f>Reconciliation!L14</f>
        <v>-2327.21</v>
      </c>
      <c r="N13" s="30">
        <f>SUM(B13:M13)</f>
        <v>-6783.46</v>
      </c>
    </row>
    <row r="14" spans="1:14" x14ac:dyDescent="0.3">
      <c r="A14" s="45" t="s">
        <v>114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59">
        <v>0</v>
      </c>
      <c r="N14" s="31"/>
    </row>
    <row r="15" spans="1:14" ht="15" thickBot="1" x14ac:dyDescent="0.35">
      <c r="A15" s="37" t="s">
        <v>115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f>-H13</f>
        <v>88.63</v>
      </c>
      <c r="I15" s="32">
        <f t="shared" ref="I15:M15" si="1">-I13</f>
        <v>377.57</v>
      </c>
      <c r="J15" s="32">
        <f t="shared" si="1"/>
        <v>823.78</v>
      </c>
      <c r="K15" s="32">
        <f t="shared" si="1"/>
        <v>1259.55</v>
      </c>
      <c r="L15" s="32">
        <f t="shared" si="1"/>
        <v>1906.72</v>
      </c>
      <c r="M15" s="32">
        <f t="shared" si="1"/>
        <v>2327.21</v>
      </c>
      <c r="N15" s="33">
        <f>SUM(B15:M15)</f>
        <v>6783.46</v>
      </c>
    </row>
    <row r="16" spans="1:14" ht="15" thickBot="1" x14ac:dyDescent="0.35">
      <c r="A16" s="2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54"/>
      <c r="N16" s="10"/>
    </row>
    <row r="17" spans="1:14" ht="15" thickBot="1" x14ac:dyDescent="0.35">
      <c r="A17" s="26" t="s">
        <v>116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60"/>
      <c r="N17" s="41"/>
    </row>
    <row r="18" spans="1:14" x14ac:dyDescent="0.3">
      <c r="A18" s="45" t="s">
        <v>117</v>
      </c>
      <c r="B18" s="46">
        <v>0</v>
      </c>
      <c r="C18" s="42">
        <v>0</v>
      </c>
      <c r="D18" s="42">
        <v>0</v>
      </c>
      <c r="E18" s="42">
        <v>0</v>
      </c>
      <c r="F18" s="42">
        <v>0</v>
      </c>
      <c r="G18" s="46">
        <v>0</v>
      </c>
      <c r="H18" s="42">
        <f>'Monthly Revenue Req.'!B14</f>
        <v>394465.92</v>
      </c>
      <c r="I18" s="42">
        <f>'Monthly Revenue Req.'!B15</f>
        <v>403140.33999999997</v>
      </c>
      <c r="J18" s="42">
        <f>'Monthly Revenue Req.'!B16</f>
        <v>459161.56000000006</v>
      </c>
      <c r="K18" s="42">
        <f>'Monthly Revenue Req.'!B17</f>
        <v>426229.33</v>
      </c>
      <c r="L18" s="42">
        <f>'Monthly Revenue Req.'!B18</f>
        <v>805998.73</v>
      </c>
      <c r="M18" s="61">
        <f>'Monthly Revenue Req.'!B19</f>
        <v>1255424.8599999999</v>
      </c>
      <c r="N18" s="43">
        <f>SUM(B18:M18)</f>
        <v>3744420.7399999998</v>
      </c>
    </row>
    <row r="19" spans="1:14" ht="15" thickBot="1" x14ac:dyDescent="0.35">
      <c r="A19" s="37" t="s">
        <v>118</v>
      </c>
      <c r="B19" s="47">
        <v>0</v>
      </c>
      <c r="C19" s="38">
        <v>0</v>
      </c>
      <c r="D19" s="38">
        <v>0</v>
      </c>
      <c r="E19" s="38">
        <v>0</v>
      </c>
      <c r="F19" s="38">
        <v>0</v>
      </c>
      <c r="G19" s="47">
        <v>0</v>
      </c>
      <c r="H19" s="38">
        <f>-H18</f>
        <v>-394465.92</v>
      </c>
      <c r="I19" s="38">
        <f t="shared" ref="I19:M19" si="2">-I18</f>
        <v>-403140.33999999997</v>
      </c>
      <c r="J19" s="38">
        <f t="shared" si="2"/>
        <v>-459161.56000000006</v>
      </c>
      <c r="K19" s="38">
        <f t="shared" si="2"/>
        <v>-426229.33</v>
      </c>
      <c r="L19" s="38">
        <f t="shared" si="2"/>
        <v>-805998.73</v>
      </c>
      <c r="M19" s="38">
        <f t="shared" si="2"/>
        <v>-1255424.8599999999</v>
      </c>
      <c r="N19" s="39">
        <f>SUM(B19:M19)</f>
        <v>-3744420.7399999998</v>
      </c>
    </row>
    <row r="20" spans="1:14" ht="15" thickBot="1" x14ac:dyDescent="0.35">
      <c r="A20" s="27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54"/>
      <c r="N20" s="10"/>
    </row>
    <row r="21" spans="1:14" ht="15" thickBot="1" x14ac:dyDescent="0.35">
      <c r="A21" s="26" t="s">
        <v>119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60"/>
      <c r="N21" s="41"/>
    </row>
    <row r="22" spans="1:14" x14ac:dyDescent="0.3">
      <c r="A22" s="45" t="s">
        <v>117</v>
      </c>
      <c r="B22" s="46">
        <v>0</v>
      </c>
      <c r="C22" s="42">
        <v>0</v>
      </c>
      <c r="D22" s="42">
        <v>0</v>
      </c>
      <c r="E22" s="42">
        <v>0</v>
      </c>
      <c r="F22" s="42">
        <v>0</v>
      </c>
      <c r="G22" s="46">
        <v>0</v>
      </c>
      <c r="H22" s="42">
        <f>'Monthly Revenue Req.'!E14</f>
        <v>0</v>
      </c>
      <c r="I22" s="42">
        <f>'Monthly Revenue Req.'!E15</f>
        <v>26000</v>
      </c>
      <c r="J22" s="42">
        <f>'Monthly Revenue Req.'!E16</f>
        <v>512000</v>
      </c>
      <c r="K22" s="42">
        <f>'Monthly Revenue Req.'!E17</f>
        <v>3000</v>
      </c>
      <c r="L22" s="42">
        <f>'Monthly Revenue Req.'!E18</f>
        <v>3000</v>
      </c>
      <c r="M22" s="61">
        <f>'Monthly Revenue Req.'!E19</f>
        <v>3000</v>
      </c>
      <c r="N22" s="43">
        <f>SUM(B22:M22)</f>
        <v>547000</v>
      </c>
    </row>
    <row r="23" spans="1:14" ht="15" thickBot="1" x14ac:dyDescent="0.35">
      <c r="A23" s="37" t="s">
        <v>118</v>
      </c>
      <c r="B23" s="47">
        <v>0</v>
      </c>
      <c r="C23" s="38">
        <v>0</v>
      </c>
      <c r="D23" s="38">
        <v>0</v>
      </c>
      <c r="E23" s="38">
        <v>0</v>
      </c>
      <c r="F23" s="38">
        <v>0</v>
      </c>
      <c r="G23" s="47">
        <v>0</v>
      </c>
      <c r="H23" s="38">
        <f>-H22</f>
        <v>0</v>
      </c>
      <c r="I23" s="38">
        <f t="shared" ref="I23:M23" si="3">-I22</f>
        <v>-26000</v>
      </c>
      <c r="J23" s="38">
        <f t="shared" si="3"/>
        <v>-512000</v>
      </c>
      <c r="K23" s="38">
        <f t="shared" si="3"/>
        <v>-3000</v>
      </c>
      <c r="L23" s="38">
        <f t="shared" si="3"/>
        <v>-3000</v>
      </c>
      <c r="M23" s="38">
        <f t="shared" si="3"/>
        <v>-3000</v>
      </c>
      <c r="N23" s="39">
        <f>SUM(B23:M23)</f>
        <v>-547000</v>
      </c>
    </row>
    <row r="24" spans="1:14" ht="15" thickBot="1" x14ac:dyDescent="0.35">
      <c r="A24" s="2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54"/>
      <c r="N24" s="10"/>
    </row>
    <row r="25" spans="1:14" ht="15" thickBot="1" x14ac:dyDescent="0.35">
      <c r="A25" s="26" t="s">
        <v>120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60"/>
      <c r="N25" s="41"/>
    </row>
    <row r="26" spans="1:14" x14ac:dyDescent="0.3">
      <c r="A26" s="44" t="s">
        <v>121</v>
      </c>
      <c r="B26" s="46">
        <v>0</v>
      </c>
      <c r="C26" s="42">
        <v>0</v>
      </c>
      <c r="D26" s="42">
        <v>0</v>
      </c>
      <c r="E26" s="42">
        <v>0</v>
      </c>
      <c r="F26" s="42">
        <v>0</v>
      </c>
      <c r="G26" s="46">
        <v>0</v>
      </c>
      <c r="H26" s="42">
        <f>-'Monthly Revenue Req.'!D14</f>
        <v>-3287</v>
      </c>
      <c r="I26" s="42">
        <f>-'Monthly Revenue Req.'!D15</f>
        <v>-6647</v>
      </c>
      <c r="J26" s="42">
        <f>-'Monthly Revenue Req.'!D16</f>
        <v>-10473</v>
      </c>
      <c r="K26" s="42">
        <f>-'Monthly Revenue Req.'!D17</f>
        <v>-14025</v>
      </c>
      <c r="L26" s="42">
        <f>-'Monthly Revenue Req.'!D18</f>
        <v>-20742</v>
      </c>
      <c r="M26" s="61">
        <f>-'Monthly Revenue Req.'!D19</f>
        <v>-31204</v>
      </c>
      <c r="N26" s="43">
        <f>SUM(B26:M26)</f>
        <v>-86378</v>
      </c>
    </row>
    <row r="27" spans="1:14" ht="15" thickBot="1" x14ac:dyDescent="0.35">
      <c r="A27" s="37" t="s">
        <v>122</v>
      </c>
      <c r="B27" s="47">
        <v>0</v>
      </c>
      <c r="C27" s="38">
        <v>0</v>
      </c>
      <c r="D27" s="38">
        <v>0</v>
      </c>
      <c r="E27" s="38">
        <v>0</v>
      </c>
      <c r="F27" s="38">
        <v>0</v>
      </c>
      <c r="G27" s="47">
        <v>0</v>
      </c>
      <c r="H27" s="38">
        <f>-H26</f>
        <v>3287</v>
      </c>
      <c r="I27" s="38">
        <f t="shared" ref="I27:M27" si="4">-I26</f>
        <v>6647</v>
      </c>
      <c r="J27" s="38">
        <f t="shared" si="4"/>
        <v>10473</v>
      </c>
      <c r="K27" s="38">
        <f t="shared" si="4"/>
        <v>14025</v>
      </c>
      <c r="L27" s="38">
        <f t="shared" si="4"/>
        <v>20742</v>
      </c>
      <c r="M27" s="38">
        <f t="shared" si="4"/>
        <v>31204</v>
      </c>
      <c r="N27" s="39">
        <f>SUM(B27:M27)</f>
        <v>86378</v>
      </c>
    </row>
    <row r="28" spans="1:14" ht="15" thickBot="1" x14ac:dyDescent="0.35">
      <c r="A28" s="2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54"/>
      <c r="N28" s="10"/>
    </row>
    <row r="29" spans="1:14" ht="15" thickBot="1" x14ac:dyDescent="0.35">
      <c r="A29" s="26" t="s">
        <v>123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60"/>
      <c r="N29" s="41"/>
    </row>
    <row r="30" spans="1:14" x14ac:dyDescent="0.3">
      <c r="A30" s="44" t="s">
        <v>121</v>
      </c>
      <c r="B30" s="46">
        <v>0</v>
      </c>
      <c r="C30" s="42">
        <v>0</v>
      </c>
      <c r="D30" s="42">
        <v>0</v>
      </c>
      <c r="E30" s="42">
        <v>0</v>
      </c>
      <c r="F30" s="42">
        <v>0</v>
      </c>
      <c r="G30" s="46">
        <v>0</v>
      </c>
      <c r="H30" s="42">
        <f>-'Monthly Revenue Req.'!G14</f>
        <v>0</v>
      </c>
      <c r="I30" s="42">
        <f>-'Monthly Revenue Req.'!G15</f>
        <v>-2167</v>
      </c>
      <c r="J30" s="42">
        <f>-'Monthly Revenue Req.'!G16</f>
        <v>-44833</v>
      </c>
      <c r="K30" s="42">
        <f>-'Monthly Revenue Req.'!G17</f>
        <v>-45083</v>
      </c>
      <c r="L30" s="42">
        <f>-'Monthly Revenue Req.'!G18</f>
        <v>-45333</v>
      </c>
      <c r="M30" s="61">
        <f>-'Monthly Revenue Req.'!G19</f>
        <v>-45583</v>
      </c>
      <c r="N30" s="43">
        <f>SUM(B30:M30)</f>
        <v>-182999</v>
      </c>
    </row>
    <row r="31" spans="1:14" ht="15" thickBot="1" x14ac:dyDescent="0.35">
      <c r="A31" s="37" t="s">
        <v>122</v>
      </c>
      <c r="B31" s="47">
        <v>0</v>
      </c>
      <c r="C31" s="38">
        <v>0</v>
      </c>
      <c r="D31" s="38">
        <v>0</v>
      </c>
      <c r="E31" s="38">
        <v>0</v>
      </c>
      <c r="F31" s="38">
        <v>0</v>
      </c>
      <c r="G31" s="47">
        <v>0</v>
      </c>
      <c r="H31" s="38">
        <f>-H30</f>
        <v>0</v>
      </c>
      <c r="I31" s="38">
        <f t="shared" ref="I31:M31" si="5">-I30</f>
        <v>2167</v>
      </c>
      <c r="J31" s="38">
        <f t="shared" si="5"/>
        <v>44833</v>
      </c>
      <c r="K31" s="38">
        <f t="shared" si="5"/>
        <v>45083</v>
      </c>
      <c r="L31" s="38">
        <f t="shared" si="5"/>
        <v>45333</v>
      </c>
      <c r="M31" s="38">
        <f t="shared" si="5"/>
        <v>45583</v>
      </c>
      <c r="N31" s="39">
        <f>SUM(B31:M31)</f>
        <v>182999</v>
      </c>
    </row>
    <row r="32" spans="1:14" x14ac:dyDescent="0.3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mergeCells count="1">
    <mergeCell ref="B6:N6"/>
  </mergeCells>
  <pageMargins left="0.7" right="0.7" top="0.75" bottom="0.75" header="0.3" footer="0.3"/>
  <pageSetup scale="84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11B5-4C2D-4EF3-A336-91CC2985D0D1}">
  <sheetPr>
    <pageSetUpPr fitToPage="1"/>
  </sheetPr>
  <dimension ref="A1:A3"/>
  <sheetViews>
    <sheetView workbookViewId="0">
      <selection activeCell="A7" sqref="A7"/>
    </sheetView>
  </sheetViews>
  <sheetFormatPr defaultRowHeight="14.4" x14ac:dyDescent="0.3"/>
  <sheetData>
    <row r="1" spans="1:1" ht="15.6" x14ac:dyDescent="0.3">
      <c r="A1" s="6" t="s">
        <v>0</v>
      </c>
    </row>
    <row r="2" spans="1:1" ht="15.6" x14ac:dyDescent="0.3">
      <c r="A2" s="7" t="s">
        <v>1</v>
      </c>
    </row>
    <row r="3" spans="1:1" ht="15.6" x14ac:dyDescent="0.3">
      <c r="A3" s="7" t="s">
        <v>124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FC4CE-9A3C-4C51-8D74-2A9D622C5C9C}">
  <dimension ref="A1:H223"/>
  <sheetViews>
    <sheetView tabSelected="1" topLeftCell="A88" workbookViewId="0">
      <selection activeCell="H223" sqref="H223"/>
    </sheetView>
  </sheetViews>
  <sheetFormatPr defaultRowHeight="14.4" x14ac:dyDescent="0.3"/>
  <cols>
    <col min="5" max="5" width="16.109375" style="10" bestFit="1" customWidth="1"/>
    <col min="6" max="6" width="14.6640625" style="10" bestFit="1" customWidth="1"/>
    <col min="7" max="7" width="13.6640625" style="10" bestFit="1" customWidth="1"/>
    <col min="8" max="8" width="17.33203125" style="10" bestFit="1" customWidth="1"/>
  </cols>
  <sheetData>
    <row r="1" spans="1:8" x14ac:dyDescent="0.3">
      <c r="A1" s="3" t="s">
        <v>125</v>
      </c>
      <c r="B1" s="3"/>
      <c r="C1" s="3"/>
    </row>
    <row r="2" spans="1:8" x14ac:dyDescent="0.3">
      <c r="A2" s="3" t="s">
        <v>1</v>
      </c>
    </row>
    <row r="3" spans="1:8" x14ac:dyDescent="0.3">
      <c r="A3" s="3" t="s">
        <v>126</v>
      </c>
    </row>
    <row r="6" spans="1:8" x14ac:dyDescent="0.3">
      <c r="E6" s="62" t="s">
        <v>127</v>
      </c>
      <c r="F6" s="62" t="s">
        <v>128</v>
      </c>
      <c r="G6" s="62" t="s">
        <v>129</v>
      </c>
      <c r="H6" s="62" t="s">
        <v>3</v>
      </c>
    </row>
    <row r="7" spans="1:8" x14ac:dyDescent="0.3">
      <c r="A7" t="s">
        <v>130</v>
      </c>
      <c r="B7" t="s">
        <v>131</v>
      </c>
      <c r="C7" t="s">
        <v>132</v>
      </c>
      <c r="D7" t="s">
        <v>133</v>
      </c>
      <c r="E7" s="10">
        <v>83168.941424499993</v>
      </c>
      <c r="F7" s="10">
        <v>1879690.1629967</v>
      </c>
      <c r="G7" s="10">
        <v>56050.865138200003</v>
      </c>
      <c r="H7" s="10">
        <v>2018909.9695594001</v>
      </c>
    </row>
    <row r="8" spans="1:8" x14ac:dyDescent="0.3">
      <c r="A8" t="s">
        <v>130</v>
      </c>
      <c r="B8" t="s">
        <v>131</v>
      </c>
      <c r="C8" t="s">
        <v>132</v>
      </c>
      <c r="D8" t="s">
        <v>134</v>
      </c>
      <c r="E8" s="10">
        <v>82927.3043588</v>
      </c>
      <c r="F8" s="10">
        <v>1878243.2057707999</v>
      </c>
      <c r="G8" s="10">
        <v>55968.9929051</v>
      </c>
      <c r="H8" s="10">
        <v>2017139.5030346999</v>
      </c>
    </row>
    <row r="9" spans="1:8" x14ac:dyDescent="0.3">
      <c r="A9" t="s">
        <v>130</v>
      </c>
      <c r="B9" t="s">
        <v>131</v>
      </c>
      <c r="C9" t="s">
        <v>132</v>
      </c>
      <c r="D9" t="s">
        <v>135</v>
      </c>
      <c r="E9" s="10">
        <v>82686.410430000004</v>
      </c>
      <c r="F9" s="10">
        <v>1876797.5736236</v>
      </c>
      <c r="G9" s="10">
        <v>55887.272793999997</v>
      </c>
      <c r="H9" s="10">
        <v>2015371.2568476</v>
      </c>
    </row>
    <row r="10" spans="1:8" x14ac:dyDescent="0.3">
      <c r="A10" t="s">
        <v>130</v>
      </c>
      <c r="B10" t="s">
        <v>131</v>
      </c>
      <c r="C10" t="s">
        <v>132</v>
      </c>
      <c r="D10" t="s">
        <v>136</v>
      </c>
      <c r="E10" s="10">
        <v>82446.257469100005</v>
      </c>
      <c r="F10" s="10">
        <v>1875353.2656737</v>
      </c>
      <c r="G10" s="10">
        <v>55805.704440599999</v>
      </c>
      <c r="H10" s="10">
        <v>2013605.2275834</v>
      </c>
    </row>
    <row r="11" spans="1:8" x14ac:dyDescent="0.3">
      <c r="A11" t="s">
        <v>130</v>
      </c>
      <c r="B11" t="s">
        <v>131</v>
      </c>
      <c r="C11" t="s">
        <v>132</v>
      </c>
      <c r="D11" t="s">
        <v>137</v>
      </c>
      <c r="E11" s="10">
        <v>82206.843314099999</v>
      </c>
      <c r="F11" s="10">
        <v>1873910.2810422</v>
      </c>
      <c r="G11" s="10">
        <v>55724.287481400002</v>
      </c>
      <c r="H11" s="10">
        <v>2011841.4118377001</v>
      </c>
    </row>
    <row r="12" spans="1:8" x14ac:dyDescent="0.3">
      <c r="A12" t="s">
        <v>130</v>
      </c>
      <c r="B12" t="s">
        <v>131</v>
      </c>
      <c r="C12" t="s">
        <v>132</v>
      </c>
      <c r="D12" t="s">
        <v>138</v>
      </c>
      <c r="E12" s="10">
        <v>81968.165809900005</v>
      </c>
      <c r="F12" s="10">
        <v>1872468.6188526</v>
      </c>
      <c r="G12" s="10">
        <v>55643.021554400002</v>
      </c>
      <c r="H12" s="10">
        <v>2010079.8062169</v>
      </c>
    </row>
    <row r="13" spans="1:8" x14ac:dyDescent="0.3">
      <c r="A13" t="s">
        <v>130</v>
      </c>
      <c r="B13" t="s">
        <v>131</v>
      </c>
      <c r="C13" t="s">
        <v>132</v>
      </c>
      <c r="D13" t="s">
        <v>139</v>
      </c>
      <c r="E13" s="10">
        <v>81730.222808599996</v>
      </c>
      <c r="F13" s="10">
        <v>1871028.2782306001</v>
      </c>
      <c r="G13" s="10">
        <v>55561.906298100002</v>
      </c>
      <c r="H13" s="10">
        <v>2008320.4073373</v>
      </c>
    </row>
    <row r="14" spans="1:8" x14ac:dyDescent="0.3">
      <c r="A14" t="s">
        <v>130</v>
      </c>
      <c r="B14" t="s">
        <v>131</v>
      </c>
      <c r="C14" t="s">
        <v>132</v>
      </c>
      <c r="D14" t="s">
        <v>140</v>
      </c>
      <c r="E14" s="10">
        <v>81493.012168899993</v>
      </c>
      <c r="F14" s="10">
        <v>1869589.2583041</v>
      </c>
      <c r="G14" s="10">
        <v>55480.941352499998</v>
      </c>
      <c r="H14" s="10">
        <v>2006563.2118255002</v>
      </c>
    </row>
    <row r="15" spans="1:8" x14ac:dyDescent="0.3">
      <c r="A15" t="s">
        <v>130</v>
      </c>
      <c r="B15" t="s">
        <v>131</v>
      </c>
      <c r="C15" t="s">
        <v>132</v>
      </c>
      <c r="D15" t="s">
        <v>141</v>
      </c>
      <c r="E15" s="10">
        <v>81256.5317565</v>
      </c>
      <c r="F15" s="10">
        <v>1868151.5582038001</v>
      </c>
      <c r="G15" s="10">
        <v>55400.126358399997</v>
      </c>
      <c r="H15" s="10">
        <v>2004808.2163187002</v>
      </c>
    </row>
    <row r="16" spans="1:8" x14ac:dyDescent="0.3">
      <c r="A16" t="s">
        <v>130</v>
      </c>
      <c r="B16" t="s">
        <v>131</v>
      </c>
      <c r="C16" t="s">
        <v>132</v>
      </c>
      <c r="D16" t="s">
        <v>142</v>
      </c>
      <c r="E16" s="10">
        <v>81020.779444200001</v>
      </c>
      <c r="F16" s="10">
        <v>1866715.1770621999</v>
      </c>
      <c r="G16" s="10">
        <v>55319.460957700001</v>
      </c>
      <c r="H16" s="10">
        <v>2003055.4174640998</v>
      </c>
    </row>
    <row r="17" spans="1:8" x14ac:dyDescent="0.3">
      <c r="A17" t="s">
        <v>130</v>
      </c>
      <c r="B17" t="s">
        <v>131</v>
      </c>
      <c r="C17" t="s">
        <v>132</v>
      </c>
      <c r="D17" t="s">
        <v>143</v>
      </c>
      <c r="E17" s="10">
        <v>80785.753111400001</v>
      </c>
      <c r="F17" s="10">
        <v>1865280.1140145999</v>
      </c>
      <c r="G17" s="10">
        <v>55238.944793299997</v>
      </c>
      <c r="H17" s="10">
        <v>2001304.8119192999</v>
      </c>
    </row>
    <row r="18" spans="1:8" x14ac:dyDescent="0.3">
      <c r="A18" t="s">
        <v>130</v>
      </c>
      <c r="B18" t="s">
        <v>131</v>
      </c>
      <c r="C18" t="s">
        <v>132</v>
      </c>
      <c r="D18" t="s">
        <v>144</v>
      </c>
      <c r="E18" s="10">
        <v>80551.450644500001</v>
      </c>
      <c r="F18" s="10">
        <v>1863846.3681983999</v>
      </c>
      <c r="G18" s="10">
        <v>55158.577509199997</v>
      </c>
      <c r="H18" s="10">
        <v>1999556.3963521</v>
      </c>
    </row>
    <row r="19" spans="1:8" x14ac:dyDescent="0.3">
      <c r="A19" t="s">
        <v>130</v>
      </c>
      <c r="B19" t="s">
        <v>131</v>
      </c>
      <c r="C19" t="s">
        <v>145</v>
      </c>
      <c r="D19" t="s">
        <v>133</v>
      </c>
      <c r="F19" s="10">
        <v>130464</v>
      </c>
      <c r="H19" s="10">
        <v>130464</v>
      </c>
    </row>
    <row r="20" spans="1:8" x14ac:dyDescent="0.3">
      <c r="A20" t="s">
        <v>130</v>
      </c>
      <c r="B20" t="s">
        <v>131</v>
      </c>
      <c r="C20" t="s">
        <v>145</v>
      </c>
      <c r="D20" t="s">
        <v>134</v>
      </c>
      <c r="F20" s="10">
        <v>130464</v>
      </c>
      <c r="H20" s="10">
        <v>130464</v>
      </c>
    </row>
    <row r="21" spans="1:8" x14ac:dyDescent="0.3">
      <c r="A21" t="s">
        <v>130</v>
      </c>
      <c r="B21" t="s">
        <v>131</v>
      </c>
      <c r="C21" t="s">
        <v>145</v>
      </c>
      <c r="D21" t="s">
        <v>135</v>
      </c>
      <c r="F21" s="10">
        <v>130464</v>
      </c>
      <c r="H21" s="10">
        <v>130464</v>
      </c>
    </row>
    <row r="22" spans="1:8" x14ac:dyDescent="0.3">
      <c r="A22" t="s">
        <v>130</v>
      </c>
      <c r="B22" t="s">
        <v>131</v>
      </c>
      <c r="C22" t="s">
        <v>145</v>
      </c>
      <c r="D22" t="s">
        <v>136</v>
      </c>
      <c r="F22" s="10">
        <v>130464</v>
      </c>
      <c r="H22" s="10">
        <v>130464</v>
      </c>
    </row>
    <row r="23" spans="1:8" x14ac:dyDescent="0.3">
      <c r="A23" t="s">
        <v>130</v>
      </c>
      <c r="B23" t="s">
        <v>131</v>
      </c>
      <c r="C23" t="s">
        <v>145</v>
      </c>
      <c r="D23" t="s">
        <v>137</v>
      </c>
      <c r="F23" s="10">
        <v>130464</v>
      </c>
      <c r="H23" s="10">
        <v>130464</v>
      </c>
    </row>
    <row r="24" spans="1:8" x14ac:dyDescent="0.3">
      <c r="A24" t="s">
        <v>130</v>
      </c>
      <c r="B24" t="s">
        <v>131</v>
      </c>
      <c r="C24" t="s">
        <v>145</v>
      </c>
      <c r="D24" t="s">
        <v>138</v>
      </c>
      <c r="F24" s="10">
        <v>130464</v>
      </c>
      <c r="H24" s="10">
        <v>130464</v>
      </c>
    </row>
    <row r="25" spans="1:8" x14ac:dyDescent="0.3">
      <c r="A25" t="s">
        <v>130</v>
      </c>
      <c r="B25" t="s">
        <v>131</v>
      </c>
      <c r="C25" t="s">
        <v>145</v>
      </c>
      <c r="D25" t="s">
        <v>139</v>
      </c>
      <c r="F25" s="10">
        <v>130464</v>
      </c>
      <c r="H25" s="10">
        <v>130464</v>
      </c>
    </row>
    <row r="26" spans="1:8" x14ac:dyDescent="0.3">
      <c r="A26" t="s">
        <v>130</v>
      </c>
      <c r="B26" t="s">
        <v>131</v>
      </c>
      <c r="C26" t="s">
        <v>145</v>
      </c>
      <c r="D26" t="s">
        <v>140</v>
      </c>
      <c r="F26" s="10">
        <v>130464</v>
      </c>
      <c r="H26" s="10">
        <v>130464</v>
      </c>
    </row>
    <row r="27" spans="1:8" x14ac:dyDescent="0.3">
      <c r="A27" t="s">
        <v>130</v>
      </c>
      <c r="B27" t="s">
        <v>131</v>
      </c>
      <c r="C27" t="s">
        <v>145</v>
      </c>
      <c r="D27" t="s">
        <v>141</v>
      </c>
      <c r="F27" s="10">
        <v>130464</v>
      </c>
      <c r="H27" s="10">
        <v>130464</v>
      </c>
    </row>
    <row r="28" spans="1:8" x14ac:dyDescent="0.3">
      <c r="A28" t="s">
        <v>130</v>
      </c>
      <c r="B28" t="s">
        <v>131</v>
      </c>
      <c r="C28" t="s">
        <v>145</v>
      </c>
      <c r="D28" t="s">
        <v>142</v>
      </c>
      <c r="F28" s="10">
        <v>130464</v>
      </c>
      <c r="H28" s="10">
        <v>130464</v>
      </c>
    </row>
    <row r="29" spans="1:8" x14ac:dyDescent="0.3">
      <c r="A29" t="s">
        <v>130</v>
      </c>
      <c r="B29" t="s">
        <v>131</v>
      </c>
      <c r="C29" t="s">
        <v>145</v>
      </c>
      <c r="D29" t="s">
        <v>143</v>
      </c>
      <c r="F29" s="10">
        <v>130464</v>
      </c>
      <c r="H29" s="10">
        <v>130464</v>
      </c>
    </row>
    <row r="30" spans="1:8" x14ac:dyDescent="0.3">
      <c r="A30" t="s">
        <v>130</v>
      </c>
      <c r="B30" t="s">
        <v>131</v>
      </c>
      <c r="C30" t="s">
        <v>145</v>
      </c>
      <c r="D30" t="s">
        <v>144</v>
      </c>
      <c r="F30" s="10">
        <v>130464</v>
      </c>
      <c r="H30" s="10">
        <v>130464</v>
      </c>
    </row>
    <row r="31" spans="1:8" x14ac:dyDescent="0.3">
      <c r="A31" t="s">
        <v>130</v>
      </c>
      <c r="B31" t="s">
        <v>131</v>
      </c>
      <c r="C31" t="s">
        <v>146</v>
      </c>
      <c r="D31" t="s">
        <v>133</v>
      </c>
      <c r="F31" s="10">
        <v>97783591.436578304</v>
      </c>
      <c r="G31" s="10">
        <v>49129989.098035499</v>
      </c>
      <c r="H31" s="10">
        <v>146913580.53461379</v>
      </c>
    </row>
    <row r="32" spans="1:8" x14ac:dyDescent="0.3">
      <c r="A32" t="s">
        <v>130</v>
      </c>
      <c r="B32" t="s">
        <v>131</v>
      </c>
      <c r="C32" t="s">
        <v>146</v>
      </c>
      <c r="D32" t="s">
        <v>134</v>
      </c>
      <c r="F32" s="10">
        <v>105235955.952774</v>
      </c>
      <c r="G32" s="10">
        <v>47951493.965960898</v>
      </c>
      <c r="H32" s="10">
        <v>153187449.91873491</v>
      </c>
    </row>
    <row r="33" spans="1:8" x14ac:dyDescent="0.3">
      <c r="A33" t="s">
        <v>130</v>
      </c>
      <c r="B33" t="s">
        <v>131</v>
      </c>
      <c r="C33" t="s">
        <v>146</v>
      </c>
      <c r="D33" t="s">
        <v>135</v>
      </c>
      <c r="F33" s="10">
        <v>96385060.016743496</v>
      </c>
      <c r="G33" s="10">
        <v>46805529.274995402</v>
      </c>
      <c r="H33" s="10">
        <v>143190589.2917389</v>
      </c>
    </row>
    <row r="34" spans="1:8" x14ac:dyDescent="0.3">
      <c r="A34" t="s">
        <v>130</v>
      </c>
      <c r="B34" t="s">
        <v>131</v>
      </c>
      <c r="C34" t="s">
        <v>146</v>
      </c>
      <c r="D34" t="s">
        <v>136</v>
      </c>
      <c r="F34" s="10">
        <v>87323707.045827299</v>
      </c>
      <c r="G34" s="10">
        <v>43432764.617546901</v>
      </c>
      <c r="H34" s="10">
        <v>130756471.6633742</v>
      </c>
    </row>
    <row r="35" spans="1:8" x14ac:dyDescent="0.3">
      <c r="A35" t="s">
        <v>130</v>
      </c>
      <c r="B35" t="s">
        <v>131</v>
      </c>
      <c r="C35" t="s">
        <v>146</v>
      </c>
      <c r="D35" t="s">
        <v>137</v>
      </c>
      <c r="F35" s="10">
        <v>84805707.8937089</v>
      </c>
      <c r="G35" s="10">
        <v>44794013.028745599</v>
      </c>
      <c r="H35" s="10">
        <v>129599720.92245451</v>
      </c>
    </row>
    <row r="36" spans="1:8" x14ac:dyDescent="0.3">
      <c r="A36" t="s">
        <v>130</v>
      </c>
      <c r="B36" t="s">
        <v>131</v>
      </c>
      <c r="C36" t="s">
        <v>146</v>
      </c>
      <c r="D36" t="s">
        <v>138</v>
      </c>
      <c r="F36" s="10">
        <v>85365316.542075902</v>
      </c>
      <c r="G36" s="10">
        <v>42459508.0368229</v>
      </c>
      <c r="H36" s="10">
        <v>127824824.5788988</v>
      </c>
    </row>
    <row r="37" spans="1:8" x14ac:dyDescent="0.3">
      <c r="A37" t="s">
        <v>130</v>
      </c>
      <c r="B37" t="s">
        <v>131</v>
      </c>
      <c r="C37" t="s">
        <v>146</v>
      </c>
      <c r="D37" t="s">
        <v>139</v>
      </c>
      <c r="F37" s="10">
        <v>83394546.606638104</v>
      </c>
      <c r="G37" s="10">
        <v>43445484.289699003</v>
      </c>
      <c r="H37" s="10">
        <v>126840030.89633711</v>
      </c>
    </row>
    <row r="38" spans="1:8" x14ac:dyDescent="0.3">
      <c r="A38" t="s">
        <v>130</v>
      </c>
      <c r="B38" t="s">
        <v>131</v>
      </c>
      <c r="C38" t="s">
        <v>146</v>
      </c>
      <c r="D38" t="s">
        <v>140</v>
      </c>
      <c r="F38" s="10">
        <v>86207043.890310094</v>
      </c>
      <c r="G38" s="10">
        <v>44330010.061119802</v>
      </c>
      <c r="H38" s="10">
        <v>130537053.9514299</v>
      </c>
    </row>
    <row r="39" spans="1:8" x14ac:dyDescent="0.3">
      <c r="A39" t="s">
        <v>130</v>
      </c>
      <c r="B39" t="s">
        <v>131</v>
      </c>
      <c r="C39" t="s">
        <v>146</v>
      </c>
      <c r="D39" t="s">
        <v>141</v>
      </c>
      <c r="F39" s="10">
        <v>82402383.787961006</v>
      </c>
      <c r="G39" s="10">
        <v>44860877.800233297</v>
      </c>
      <c r="H39" s="10">
        <v>127263261.58819431</v>
      </c>
    </row>
    <row r="40" spans="1:8" x14ac:dyDescent="0.3">
      <c r="A40" t="s">
        <v>130</v>
      </c>
      <c r="B40" t="s">
        <v>131</v>
      </c>
      <c r="C40" t="s">
        <v>146</v>
      </c>
      <c r="D40" t="s">
        <v>142</v>
      </c>
      <c r="F40" s="10">
        <v>82808494.063702598</v>
      </c>
      <c r="G40" s="10">
        <v>42678696.269262202</v>
      </c>
      <c r="H40" s="10">
        <v>125487190.33296481</v>
      </c>
    </row>
    <row r="41" spans="1:8" x14ac:dyDescent="0.3">
      <c r="A41" t="s">
        <v>130</v>
      </c>
      <c r="B41" t="s">
        <v>131</v>
      </c>
      <c r="C41" t="s">
        <v>146</v>
      </c>
      <c r="D41" t="s">
        <v>143</v>
      </c>
      <c r="F41" s="10">
        <v>82380117.500693902</v>
      </c>
      <c r="G41" s="10">
        <v>40599349.210335203</v>
      </c>
      <c r="H41" s="10">
        <v>122979466.71102911</v>
      </c>
    </row>
    <row r="42" spans="1:8" x14ac:dyDescent="0.3">
      <c r="A42" t="s">
        <v>130</v>
      </c>
      <c r="B42" t="s">
        <v>131</v>
      </c>
      <c r="C42" t="s">
        <v>146</v>
      </c>
      <c r="D42" t="s">
        <v>144</v>
      </c>
      <c r="F42" s="10">
        <v>89198460.361316696</v>
      </c>
      <c r="G42" s="10">
        <v>43061265.6586845</v>
      </c>
      <c r="H42" s="10">
        <v>132259726.0200012</v>
      </c>
    </row>
    <row r="43" spans="1:8" x14ac:dyDescent="0.3">
      <c r="A43" t="s">
        <v>130</v>
      </c>
      <c r="B43" t="s">
        <v>131</v>
      </c>
      <c r="C43" t="s">
        <v>147</v>
      </c>
      <c r="D43" t="s">
        <v>133</v>
      </c>
      <c r="F43" s="10">
        <v>111852.03800689999</v>
      </c>
      <c r="G43" s="10">
        <v>1558732.6920197001</v>
      </c>
      <c r="H43" s="10">
        <v>1670584.7300266</v>
      </c>
    </row>
    <row r="44" spans="1:8" x14ac:dyDescent="0.3">
      <c r="A44" t="s">
        <v>130</v>
      </c>
      <c r="B44" t="s">
        <v>131</v>
      </c>
      <c r="C44" t="s">
        <v>147</v>
      </c>
      <c r="D44" t="s">
        <v>134</v>
      </c>
      <c r="F44" s="10">
        <v>138542.4477592</v>
      </c>
      <c r="G44" s="10">
        <v>1410663.4699911999</v>
      </c>
      <c r="H44" s="10">
        <v>1549205.9177504</v>
      </c>
    </row>
    <row r="45" spans="1:8" x14ac:dyDescent="0.3">
      <c r="A45" t="s">
        <v>130</v>
      </c>
      <c r="B45" t="s">
        <v>131</v>
      </c>
      <c r="C45" t="s">
        <v>147</v>
      </c>
      <c r="D45" t="s">
        <v>135</v>
      </c>
      <c r="F45" s="10">
        <v>116608.8341371</v>
      </c>
      <c r="G45" s="10">
        <v>1310405.1828471001</v>
      </c>
      <c r="H45" s="10">
        <v>1427014.0169842001</v>
      </c>
    </row>
    <row r="46" spans="1:8" x14ac:dyDescent="0.3">
      <c r="A46" t="s">
        <v>130</v>
      </c>
      <c r="B46" t="s">
        <v>131</v>
      </c>
      <c r="C46" t="s">
        <v>147</v>
      </c>
      <c r="D46" t="s">
        <v>136</v>
      </c>
      <c r="F46" s="10">
        <v>93595.528006499997</v>
      </c>
      <c r="G46" s="10">
        <v>1231766.2836755</v>
      </c>
      <c r="H46" s="10">
        <v>1325361.8116820001</v>
      </c>
    </row>
    <row r="47" spans="1:8" x14ac:dyDescent="0.3">
      <c r="A47" t="s">
        <v>130</v>
      </c>
      <c r="B47" t="s">
        <v>131</v>
      </c>
      <c r="C47" t="s">
        <v>147</v>
      </c>
      <c r="D47" t="s">
        <v>137</v>
      </c>
      <c r="F47" s="10">
        <v>77828.328419600002</v>
      </c>
      <c r="G47" s="10">
        <v>1051166.4559481</v>
      </c>
      <c r="H47" s="10">
        <v>1128994.7843676999</v>
      </c>
    </row>
    <row r="48" spans="1:8" x14ac:dyDescent="0.3">
      <c r="A48" t="s">
        <v>130</v>
      </c>
      <c r="B48" t="s">
        <v>131</v>
      </c>
      <c r="C48" t="s">
        <v>147</v>
      </c>
      <c r="D48" t="s">
        <v>138</v>
      </c>
      <c r="F48" s="10">
        <v>89914.867790300006</v>
      </c>
      <c r="G48" s="10">
        <v>960380.88100269996</v>
      </c>
      <c r="H48" s="10">
        <v>1050295.7487929999</v>
      </c>
    </row>
    <row r="49" spans="1:8" x14ac:dyDescent="0.3">
      <c r="A49" t="s">
        <v>130</v>
      </c>
      <c r="B49" t="s">
        <v>131</v>
      </c>
      <c r="C49" t="s">
        <v>147</v>
      </c>
      <c r="D49" t="s">
        <v>139</v>
      </c>
      <c r="F49" s="10">
        <v>105107.1418742</v>
      </c>
      <c r="G49" s="10">
        <v>1068644.6834823999</v>
      </c>
      <c r="H49" s="10">
        <v>1173751.8253565999</v>
      </c>
    </row>
    <row r="50" spans="1:8" x14ac:dyDescent="0.3">
      <c r="A50" t="s">
        <v>130</v>
      </c>
      <c r="B50" t="s">
        <v>131</v>
      </c>
      <c r="C50" t="s">
        <v>147</v>
      </c>
      <c r="D50" t="s">
        <v>140</v>
      </c>
      <c r="F50" s="10">
        <v>125989.83602440001</v>
      </c>
      <c r="G50" s="10">
        <v>888102.15979249997</v>
      </c>
      <c r="H50" s="10">
        <v>1014091.9958168999</v>
      </c>
    </row>
    <row r="51" spans="1:8" x14ac:dyDescent="0.3">
      <c r="A51" t="s">
        <v>130</v>
      </c>
      <c r="B51" t="s">
        <v>131</v>
      </c>
      <c r="C51" t="s">
        <v>147</v>
      </c>
      <c r="D51" t="s">
        <v>141</v>
      </c>
      <c r="F51" s="10">
        <v>137343.82368649999</v>
      </c>
      <c r="G51" s="10">
        <v>924819.54288880003</v>
      </c>
      <c r="H51" s="10">
        <v>1062163.3665753</v>
      </c>
    </row>
    <row r="52" spans="1:8" x14ac:dyDescent="0.3">
      <c r="A52" t="s">
        <v>130</v>
      </c>
      <c r="B52" t="s">
        <v>131</v>
      </c>
      <c r="C52" t="s">
        <v>147</v>
      </c>
      <c r="D52" t="s">
        <v>142</v>
      </c>
      <c r="F52" s="10">
        <v>114720.833323</v>
      </c>
      <c r="G52" s="10">
        <v>884000.65374400001</v>
      </c>
      <c r="H52" s="10">
        <v>998721.48706700001</v>
      </c>
    </row>
    <row r="53" spans="1:8" x14ac:dyDescent="0.3">
      <c r="A53" t="s">
        <v>130</v>
      </c>
      <c r="B53" t="s">
        <v>131</v>
      </c>
      <c r="C53" t="s">
        <v>147</v>
      </c>
      <c r="D53" t="s">
        <v>143</v>
      </c>
      <c r="F53" s="10">
        <v>106109.29336710001</v>
      </c>
      <c r="G53" s="10">
        <v>930249.55042979994</v>
      </c>
      <c r="H53" s="10">
        <v>1036358.8437969</v>
      </c>
    </row>
    <row r="54" spans="1:8" x14ac:dyDescent="0.3">
      <c r="A54" t="s">
        <v>130</v>
      </c>
      <c r="B54" t="s">
        <v>131</v>
      </c>
      <c r="C54" t="s">
        <v>147</v>
      </c>
      <c r="D54" t="s">
        <v>144</v>
      </c>
      <c r="F54" s="10">
        <v>101725.839534</v>
      </c>
      <c r="G54" s="10">
        <v>1165681.4995269999</v>
      </c>
      <c r="H54" s="10">
        <v>1267407.3390609999</v>
      </c>
    </row>
    <row r="55" spans="1:8" x14ac:dyDescent="0.3">
      <c r="A55" t="s">
        <v>130</v>
      </c>
      <c r="B55" t="s">
        <v>131</v>
      </c>
      <c r="C55" t="s">
        <v>148</v>
      </c>
      <c r="D55" t="s">
        <v>133</v>
      </c>
      <c r="F55" s="10">
        <v>537454994.09534597</v>
      </c>
      <c r="G55" s="10">
        <v>29427244.563452199</v>
      </c>
      <c r="H55" s="10">
        <v>566882238.65879822</v>
      </c>
    </row>
    <row r="56" spans="1:8" x14ac:dyDescent="0.3">
      <c r="A56" t="s">
        <v>130</v>
      </c>
      <c r="B56" t="s">
        <v>131</v>
      </c>
      <c r="C56" t="s">
        <v>148</v>
      </c>
      <c r="D56" t="s">
        <v>134</v>
      </c>
      <c r="F56" s="10">
        <v>577407708.93086302</v>
      </c>
      <c r="G56" s="10">
        <v>29477600.930541199</v>
      </c>
      <c r="H56" s="10">
        <v>606885309.86140418</v>
      </c>
    </row>
    <row r="57" spans="1:8" x14ac:dyDescent="0.3">
      <c r="A57" t="s">
        <v>130</v>
      </c>
      <c r="B57" t="s">
        <v>131</v>
      </c>
      <c r="C57" t="s">
        <v>148</v>
      </c>
      <c r="D57" t="s">
        <v>135</v>
      </c>
      <c r="F57" s="10">
        <v>525605527.52284801</v>
      </c>
      <c r="G57" s="10">
        <v>28713195.531148501</v>
      </c>
      <c r="H57" s="10">
        <v>554318723.05399656</v>
      </c>
    </row>
    <row r="58" spans="1:8" x14ac:dyDescent="0.3">
      <c r="A58" t="s">
        <v>130</v>
      </c>
      <c r="B58" t="s">
        <v>131</v>
      </c>
      <c r="C58" t="s">
        <v>148</v>
      </c>
      <c r="D58" t="s">
        <v>136</v>
      </c>
      <c r="F58" s="10">
        <v>467974141.51677787</v>
      </c>
      <c r="G58" s="10">
        <v>26093839.515105601</v>
      </c>
      <c r="H58" s="10">
        <v>494067981.03188348</v>
      </c>
    </row>
    <row r="59" spans="1:8" x14ac:dyDescent="0.3">
      <c r="A59" t="s">
        <v>130</v>
      </c>
      <c r="B59" t="s">
        <v>131</v>
      </c>
      <c r="C59" t="s">
        <v>148</v>
      </c>
      <c r="D59" t="s">
        <v>137</v>
      </c>
      <c r="F59" s="10">
        <v>450623104.62865001</v>
      </c>
      <c r="G59" s="10">
        <v>26465044.352502201</v>
      </c>
      <c r="H59" s="10">
        <v>477088148.98115224</v>
      </c>
    </row>
    <row r="60" spans="1:8" x14ac:dyDescent="0.3">
      <c r="A60" t="s">
        <v>130</v>
      </c>
      <c r="B60" t="s">
        <v>131</v>
      </c>
      <c r="C60" t="s">
        <v>148</v>
      </c>
      <c r="D60" t="s">
        <v>138</v>
      </c>
      <c r="F60" s="10">
        <v>483482980.656569</v>
      </c>
      <c r="G60" s="10">
        <v>26391952.429402199</v>
      </c>
      <c r="H60" s="10">
        <v>509874933.08597118</v>
      </c>
    </row>
    <row r="61" spans="1:8" x14ac:dyDescent="0.3">
      <c r="A61" t="s">
        <v>130</v>
      </c>
      <c r="B61" t="s">
        <v>131</v>
      </c>
      <c r="C61" t="s">
        <v>148</v>
      </c>
      <c r="D61" t="s">
        <v>139</v>
      </c>
      <c r="F61" s="10">
        <v>484815178.19227701</v>
      </c>
      <c r="G61" s="10">
        <v>26752286.236275598</v>
      </c>
      <c r="H61" s="10">
        <v>511567464.42855263</v>
      </c>
    </row>
    <row r="62" spans="1:8" x14ac:dyDescent="0.3">
      <c r="A62" t="s">
        <v>130</v>
      </c>
      <c r="B62" t="s">
        <v>131</v>
      </c>
      <c r="C62" t="s">
        <v>148</v>
      </c>
      <c r="D62" t="s">
        <v>140</v>
      </c>
      <c r="F62" s="10">
        <v>486651301.05548012</v>
      </c>
      <c r="G62" s="10">
        <v>28067604.152514499</v>
      </c>
      <c r="H62" s="10">
        <v>514718905.20799464</v>
      </c>
    </row>
    <row r="63" spans="1:8" x14ac:dyDescent="0.3">
      <c r="A63" t="s">
        <v>130</v>
      </c>
      <c r="B63" t="s">
        <v>131</v>
      </c>
      <c r="C63" t="s">
        <v>148</v>
      </c>
      <c r="D63" t="s">
        <v>141</v>
      </c>
      <c r="F63" s="10">
        <v>466425200.41014302</v>
      </c>
      <c r="G63" s="10">
        <v>28376425.899473701</v>
      </c>
      <c r="H63" s="10">
        <v>494801626.30961674</v>
      </c>
    </row>
    <row r="64" spans="1:8" x14ac:dyDescent="0.3">
      <c r="A64" t="s">
        <v>130</v>
      </c>
      <c r="B64" t="s">
        <v>131</v>
      </c>
      <c r="C64" t="s">
        <v>148</v>
      </c>
      <c r="D64" t="s">
        <v>142</v>
      </c>
      <c r="F64" s="10">
        <v>461744554.43260998</v>
      </c>
      <c r="G64" s="10">
        <v>26775421.052554298</v>
      </c>
      <c r="H64" s="10">
        <v>488519975.48516428</v>
      </c>
    </row>
    <row r="65" spans="1:8" x14ac:dyDescent="0.3">
      <c r="A65" t="s">
        <v>130</v>
      </c>
      <c r="B65" t="s">
        <v>131</v>
      </c>
      <c r="C65" t="s">
        <v>148</v>
      </c>
      <c r="D65" t="s">
        <v>143</v>
      </c>
      <c r="F65" s="10">
        <v>439923360.33054698</v>
      </c>
      <c r="G65" s="10">
        <v>24718778.5811579</v>
      </c>
      <c r="H65" s="10">
        <v>464642138.9117049</v>
      </c>
    </row>
    <row r="66" spans="1:8" x14ac:dyDescent="0.3">
      <c r="A66" t="s">
        <v>130</v>
      </c>
      <c r="B66" t="s">
        <v>131</v>
      </c>
      <c r="C66" t="s">
        <v>148</v>
      </c>
      <c r="D66" t="s">
        <v>144</v>
      </c>
      <c r="F66" s="10">
        <v>468812395.17949498</v>
      </c>
      <c r="G66" s="10">
        <v>25764114.822659601</v>
      </c>
      <c r="H66" s="10">
        <v>494576510.00215459</v>
      </c>
    </row>
    <row r="67" spans="1:8" x14ac:dyDescent="0.3">
      <c r="A67" t="s">
        <v>130</v>
      </c>
      <c r="B67" t="s">
        <v>131</v>
      </c>
      <c r="C67" t="s">
        <v>149</v>
      </c>
      <c r="D67" t="s">
        <v>133</v>
      </c>
      <c r="F67" s="10">
        <v>10665775.441675499</v>
      </c>
      <c r="G67" s="10">
        <v>2551919.1409383002</v>
      </c>
      <c r="H67" s="10">
        <v>13217694.5826138</v>
      </c>
    </row>
    <row r="68" spans="1:8" x14ac:dyDescent="0.3">
      <c r="A68" t="s">
        <v>130</v>
      </c>
      <c r="B68" t="s">
        <v>131</v>
      </c>
      <c r="C68" t="s">
        <v>149</v>
      </c>
      <c r="D68" t="s">
        <v>134</v>
      </c>
      <c r="F68" s="10">
        <v>11025991.670225199</v>
      </c>
      <c r="G68" s="10">
        <v>2527278.0817791</v>
      </c>
      <c r="H68" s="10">
        <v>13553269.752004299</v>
      </c>
    </row>
    <row r="69" spans="1:8" x14ac:dyDescent="0.3">
      <c r="A69" t="s">
        <v>130</v>
      </c>
      <c r="B69" t="s">
        <v>131</v>
      </c>
      <c r="C69" t="s">
        <v>149</v>
      </c>
      <c r="D69" t="s">
        <v>135</v>
      </c>
      <c r="F69" s="10">
        <v>10524715.672237201</v>
      </c>
      <c r="G69" s="10">
        <v>2295419.2399150999</v>
      </c>
      <c r="H69" s="10">
        <v>12820134.912152302</v>
      </c>
    </row>
    <row r="70" spans="1:8" x14ac:dyDescent="0.3">
      <c r="A70" t="s">
        <v>130</v>
      </c>
      <c r="B70" t="s">
        <v>131</v>
      </c>
      <c r="C70" t="s">
        <v>149</v>
      </c>
      <c r="D70" t="s">
        <v>136</v>
      </c>
      <c r="F70" s="10">
        <v>9894177.6872559991</v>
      </c>
      <c r="G70" s="10">
        <v>2233217.2220982001</v>
      </c>
      <c r="H70" s="10">
        <v>12127394.909354199</v>
      </c>
    </row>
    <row r="71" spans="1:8" x14ac:dyDescent="0.3">
      <c r="A71" t="s">
        <v>130</v>
      </c>
      <c r="B71" t="s">
        <v>131</v>
      </c>
      <c r="C71" t="s">
        <v>149</v>
      </c>
      <c r="D71" t="s">
        <v>137</v>
      </c>
      <c r="F71" s="10">
        <v>9715924.9106984995</v>
      </c>
      <c r="G71" s="10">
        <v>1783301.8073940999</v>
      </c>
      <c r="H71" s="10">
        <v>11499226.7180926</v>
      </c>
    </row>
    <row r="72" spans="1:8" x14ac:dyDescent="0.3">
      <c r="A72" t="s">
        <v>130</v>
      </c>
      <c r="B72" t="s">
        <v>131</v>
      </c>
      <c r="C72" t="s">
        <v>149</v>
      </c>
      <c r="D72" t="s">
        <v>138</v>
      </c>
      <c r="F72" s="10">
        <v>9500599.2389864996</v>
      </c>
      <c r="G72" s="10">
        <v>1653595.0537908999</v>
      </c>
      <c r="H72" s="10">
        <v>11154194.2927774</v>
      </c>
    </row>
    <row r="73" spans="1:8" x14ac:dyDescent="0.3">
      <c r="A73" t="s">
        <v>130</v>
      </c>
      <c r="B73" t="s">
        <v>131</v>
      </c>
      <c r="C73" t="s">
        <v>149</v>
      </c>
      <c r="D73" t="s">
        <v>139</v>
      </c>
      <c r="F73" s="10">
        <v>9281671.3012374006</v>
      </c>
      <c r="G73" s="10">
        <v>1799784.2545117999</v>
      </c>
      <c r="H73" s="10">
        <v>11081455.5557492</v>
      </c>
    </row>
    <row r="74" spans="1:8" x14ac:dyDescent="0.3">
      <c r="A74" t="s">
        <v>130</v>
      </c>
      <c r="B74" t="s">
        <v>131</v>
      </c>
      <c r="C74" t="s">
        <v>149</v>
      </c>
      <c r="D74" t="s">
        <v>140</v>
      </c>
      <c r="F74" s="10">
        <v>8910764.1792479996</v>
      </c>
      <c r="G74" s="10">
        <v>1819882.8151056999</v>
      </c>
      <c r="H74" s="10">
        <v>10730646.9943537</v>
      </c>
    </row>
    <row r="75" spans="1:8" x14ac:dyDescent="0.3">
      <c r="A75" t="s">
        <v>130</v>
      </c>
      <c r="B75" t="s">
        <v>131</v>
      </c>
      <c r="C75" t="s">
        <v>149</v>
      </c>
      <c r="D75" t="s">
        <v>141</v>
      </c>
      <c r="F75" s="10">
        <v>8631602.0620021001</v>
      </c>
      <c r="G75" s="10">
        <v>1613962.4644410999</v>
      </c>
      <c r="H75" s="10">
        <v>10245564.5264432</v>
      </c>
    </row>
    <row r="76" spans="1:8" x14ac:dyDescent="0.3">
      <c r="A76" t="s">
        <v>130</v>
      </c>
      <c r="B76" t="s">
        <v>131</v>
      </c>
      <c r="C76" t="s">
        <v>149</v>
      </c>
      <c r="D76" t="s">
        <v>142</v>
      </c>
      <c r="F76" s="10">
        <v>8985666.8478861991</v>
      </c>
      <c r="G76" s="10">
        <v>1481057.6546916999</v>
      </c>
      <c r="H76" s="10">
        <v>10466724.502577899</v>
      </c>
    </row>
    <row r="77" spans="1:8" x14ac:dyDescent="0.3">
      <c r="A77" t="s">
        <v>130</v>
      </c>
      <c r="B77" t="s">
        <v>131</v>
      </c>
      <c r="C77" t="s">
        <v>149</v>
      </c>
      <c r="D77" t="s">
        <v>143</v>
      </c>
      <c r="F77" s="10">
        <v>9358495.7068041991</v>
      </c>
      <c r="G77" s="10">
        <v>1884315.8242907999</v>
      </c>
      <c r="H77" s="10">
        <v>11242811.531094998</v>
      </c>
    </row>
    <row r="78" spans="1:8" x14ac:dyDescent="0.3">
      <c r="A78" t="s">
        <v>130</v>
      </c>
      <c r="B78" t="s">
        <v>131</v>
      </c>
      <c r="C78" t="s">
        <v>149</v>
      </c>
      <c r="D78" t="s">
        <v>144</v>
      </c>
      <c r="F78" s="10">
        <v>9704121.0085493997</v>
      </c>
      <c r="G78" s="10">
        <v>2041099.3622844</v>
      </c>
      <c r="H78" s="10">
        <v>11745220.370833799</v>
      </c>
    </row>
    <row r="79" spans="1:8" x14ac:dyDescent="0.3">
      <c r="A79" t="s">
        <v>130</v>
      </c>
      <c r="B79" t="s">
        <v>131</v>
      </c>
      <c r="C79" t="s">
        <v>150</v>
      </c>
      <c r="D79" t="s">
        <v>133</v>
      </c>
      <c r="F79" s="10">
        <v>37172286.863788299</v>
      </c>
      <c r="G79" s="10">
        <v>5374571.5328396</v>
      </c>
      <c r="H79" s="10">
        <v>42546858.396627903</v>
      </c>
    </row>
    <row r="80" spans="1:8" x14ac:dyDescent="0.3">
      <c r="A80" t="s">
        <v>130</v>
      </c>
      <c r="B80" t="s">
        <v>131</v>
      </c>
      <c r="C80" t="s">
        <v>150</v>
      </c>
      <c r="D80" t="s">
        <v>134</v>
      </c>
      <c r="F80" s="10">
        <v>39243345.22676</v>
      </c>
      <c r="G80" s="10">
        <v>5207707.1116933003</v>
      </c>
      <c r="H80" s="10">
        <v>44451052.3384533</v>
      </c>
    </row>
    <row r="81" spans="1:8" x14ac:dyDescent="0.3">
      <c r="A81" t="s">
        <v>130</v>
      </c>
      <c r="B81" t="s">
        <v>131</v>
      </c>
      <c r="C81" t="s">
        <v>150</v>
      </c>
      <c r="D81" t="s">
        <v>135</v>
      </c>
      <c r="F81" s="10">
        <v>36451843.252378799</v>
      </c>
      <c r="G81" s="10">
        <v>5306625.4426483</v>
      </c>
      <c r="H81" s="10">
        <v>41758468.695027098</v>
      </c>
    </row>
    <row r="82" spans="1:8" x14ac:dyDescent="0.3">
      <c r="A82" t="s">
        <v>130</v>
      </c>
      <c r="B82" t="s">
        <v>131</v>
      </c>
      <c r="C82" t="s">
        <v>150</v>
      </c>
      <c r="D82" t="s">
        <v>136</v>
      </c>
      <c r="F82" s="10">
        <v>32657806.266633801</v>
      </c>
      <c r="G82" s="10">
        <v>4685134.7302163001</v>
      </c>
      <c r="H82" s="10">
        <v>37342940.996850103</v>
      </c>
    </row>
    <row r="83" spans="1:8" x14ac:dyDescent="0.3">
      <c r="A83" t="s">
        <v>130</v>
      </c>
      <c r="B83" t="s">
        <v>131</v>
      </c>
      <c r="C83" t="s">
        <v>150</v>
      </c>
      <c r="D83" t="s">
        <v>137</v>
      </c>
      <c r="F83" s="10">
        <v>32286362.447482798</v>
      </c>
      <c r="G83" s="10">
        <v>4767348.1633623</v>
      </c>
      <c r="H83" s="10">
        <v>37053710.610845096</v>
      </c>
    </row>
    <row r="84" spans="1:8" x14ac:dyDescent="0.3">
      <c r="A84" t="s">
        <v>130</v>
      </c>
      <c r="B84" t="s">
        <v>131</v>
      </c>
      <c r="C84" t="s">
        <v>150</v>
      </c>
      <c r="D84" t="s">
        <v>138</v>
      </c>
      <c r="F84" s="10">
        <v>33566988.818469197</v>
      </c>
      <c r="G84" s="10">
        <v>4567596.3763384996</v>
      </c>
      <c r="H84" s="10">
        <v>38134585.194807693</v>
      </c>
    </row>
    <row r="85" spans="1:8" x14ac:dyDescent="0.3">
      <c r="A85" t="s">
        <v>130</v>
      </c>
      <c r="B85" t="s">
        <v>131</v>
      </c>
      <c r="C85" t="s">
        <v>150</v>
      </c>
      <c r="D85" t="s">
        <v>139</v>
      </c>
      <c r="F85" s="10">
        <v>34056905.629482798</v>
      </c>
      <c r="G85" s="10">
        <v>4827822.2616486</v>
      </c>
      <c r="H85" s="10">
        <v>38884727.891131401</v>
      </c>
    </row>
    <row r="86" spans="1:8" x14ac:dyDescent="0.3">
      <c r="A86" t="s">
        <v>130</v>
      </c>
      <c r="B86" t="s">
        <v>131</v>
      </c>
      <c r="C86" t="s">
        <v>150</v>
      </c>
      <c r="D86" t="s">
        <v>140</v>
      </c>
      <c r="F86" s="10">
        <v>34564569.620919198</v>
      </c>
      <c r="G86" s="10">
        <v>5027082.3664605999</v>
      </c>
      <c r="H86" s="10">
        <v>39591651.987379797</v>
      </c>
    </row>
    <row r="87" spans="1:8" x14ac:dyDescent="0.3">
      <c r="A87" t="s">
        <v>130</v>
      </c>
      <c r="B87" t="s">
        <v>131</v>
      </c>
      <c r="C87" t="s">
        <v>150</v>
      </c>
      <c r="D87" t="s">
        <v>141</v>
      </c>
      <c r="F87" s="10">
        <v>32763298.731312599</v>
      </c>
      <c r="G87" s="10">
        <v>5029783.8122019004</v>
      </c>
      <c r="H87" s="10">
        <v>37793082.543514498</v>
      </c>
    </row>
    <row r="88" spans="1:8" x14ac:dyDescent="0.3">
      <c r="A88" t="s">
        <v>130</v>
      </c>
      <c r="B88" t="s">
        <v>131</v>
      </c>
      <c r="C88" t="s">
        <v>150</v>
      </c>
      <c r="D88" t="s">
        <v>142</v>
      </c>
      <c r="F88" s="10">
        <v>33456974.002935901</v>
      </c>
      <c r="G88" s="10">
        <v>4680073.5926563004</v>
      </c>
      <c r="H88" s="10">
        <v>38137047.595592201</v>
      </c>
    </row>
    <row r="89" spans="1:8" x14ac:dyDescent="0.3">
      <c r="A89" t="s">
        <v>130</v>
      </c>
      <c r="B89" t="s">
        <v>131</v>
      </c>
      <c r="C89" t="s">
        <v>150</v>
      </c>
      <c r="D89" t="s">
        <v>143</v>
      </c>
      <c r="F89" s="10">
        <v>34017368.767037898</v>
      </c>
      <c r="G89" s="10">
        <v>4518411.9367212998</v>
      </c>
      <c r="H89" s="10">
        <v>38535780.703759201</v>
      </c>
    </row>
    <row r="90" spans="1:8" x14ac:dyDescent="0.3">
      <c r="A90" t="s">
        <v>130</v>
      </c>
      <c r="B90" t="s">
        <v>131</v>
      </c>
      <c r="C90" t="s">
        <v>150</v>
      </c>
      <c r="D90" t="s">
        <v>144</v>
      </c>
      <c r="F90" s="10">
        <v>30441754.785220001</v>
      </c>
      <c r="G90" s="10">
        <v>4393232.8572752997</v>
      </c>
      <c r="H90" s="10">
        <v>34834987.642495304</v>
      </c>
    </row>
    <row r="91" spans="1:8" x14ac:dyDescent="0.3">
      <c r="A91" t="s">
        <v>130</v>
      </c>
      <c r="B91" t="s">
        <v>131</v>
      </c>
      <c r="C91" t="s">
        <v>151</v>
      </c>
      <c r="D91" t="s">
        <v>133</v>
      </c>
      <c r="F91" s="10">
        <v>492687.18558440002</v>
      </c>
      <c r="G91" s="10">
        <v>860522.15280100005</v>
      </c>
      <c r="H91" s="10">
        <v>1353209.3383854001</v>
      </c>
    </row>
    <row r="92" spans="1:8" x14ac:dyDescent="0.3">
      <c r="A92" t="s">
        <v>130</v>
      </c>
      <c r="B92" t="s">
        <v>131</v>
      </c>
      <c r="C92" t="s">
        <v>151</v>
      </c>
      <c r="D92" t="s">
        <v>134</v>
      </c>
      <c r="F92" s="10">
        <v>505861.4295731</v>
      </c>
      <c r="G92" s="10">
        <v>874989.84601730003</v>
      </c>
      <c r="H92" s="10">
        <v>1380851.2755904</v>
      </c>
    </row>
    <row r="93" spans="1:8" x14ac:dyDescent="0.3">
      <c r="A93" t="s">
        <v>130</v>
      </c>
      <c r="B93" t="s">
        <v>131</v>
      </c>
      <c r="C93" t="s">
        <v>151</v>
      </c>
      <c r="D93" t="s">
        <v>135</v>
      </c>
      <c r="F93" s="10">
        <v>443169.66157280002</v>
      </c>
      <c r="G93" s="10">
        <v>758745.30516999995</v>
      </c>
      <c r="H93" s="10">
        <v>1201914.9667428001</v>
      </c>
    </row>
    <row r="94" spans="1:8" x14ac:dyDescent="0.3">
      <c r="A94" t="s">
        <v>130</v>
      </c>
      <c r="B94" t="s">
        <v>131</v>
      </c>
      <c r="C94" t="s">
        <v>151</v>
      </c>
      <c r="D94" t="s">
        <v>136</v>
      </c>
      <c r="F94" s="10">
        <v>428203.2737274</v>
      </c>
      <c r="G94" s="10">
        <v>775492.74992940004</v>
      </c>
      <c r="H94" s="10">
        <v>1203696.0236567999</v>
      </c>
    </row>
    <row r="95" spans="1:8" x14ac:dyDescent="0.3">
      <c r="A95" t="s">
        <v>130</v>
      </c>
      <c r="B95" t="s">
        <v>131</v>
      </c>
      <c r="C95" t="s">
        <v>151</v>
      </c>
      <c r="D95" t="s">
        <v>137</v>
      </c>
      <c r="F95" s="10">
        <v>359175.23930780002</v>
      </c>
      <c r="G95" s="10">
        <v>606601.39244810003</v>
      </c>
      <c r="H95" s="10">
        <v>965776.6317559001</v>
      </c>
    </row>
    <row r="96" spans="1:8" x14ac:dyDescent="0.3">
      <c r="A96" t="s">
        <v>130</v>
      </c>
      <c r="B96" t="s">
        <v>131</v>
      </c>
      <c r="C96" t="s">
        <v>151</v>
      </c>
      <c r="D96" t="s">
        <v>138</v>
      </c>
      <c r="F96" s="10">
        <v>344645.15486060001</v>
      </c>
      <c r="G96" s="10">
        <v>595550.49406689999</v>
      </c>
      <c r="H96" s="10">
        <v>940195.64892750001</v>
      </c>
    </row>
    <row r="97" spans="1:8" x14ac:dyDescent="0.3">
      <c r="A97" t="s">
        <v>130</v>
      </c>
      <c r="B97" t="s">
        <v>131</v>
      </c>
      <c r="C97" t="s">
        <v>151</v>
      </c>
      <c r="D97" t="s">
        <v>139</v>
      </c>
      <c r="F97" s="10">
        <v>359429.71414310002</v>
      </c>
      <c r="G97" s="10">
        <v>688744.66660790006</v>
      </c>
      <c r="H97" s="10">
        <v>1048174.380751</v>
      </c>
    </row>
    <row r="98" spans="1:8" x14ac:dyDescent="0.3">
      <c r="A98" t="s">
        <v>130</v>
      </c>
      <c r="B98" t="s">
        <v>131</v>
      </c>
      <c r="C98" t="s">
        <v>151</v>
      </c>
      <c r="D98" t="s">
        <v>140</v>
      </c>
      <c r="F98" s="10">
        <v>337526.21008789999</v>
      </c>
      <c r="G98" s="10">
        <v>684816.19430970005</v>
      </c>
      <c r="H98" s="10">
        <v>1022342.4043976001</v>
      </c>
    </row>
    <row r="99" spans="1:8" x14ac:dyDescent="0.3">
      <c r="A99" t="s">
        <v>130</v>
      </c>
      <c r="B99" t="s">
        <v>131</v>
      </c>
      <c r="C99" t="s">
        <v>151</v>
      </c>
      <c r="D99" t="s">
        <v>141</v>
      </c>
      <c r="F99" s="10">
        <v>333791.28795339999</v>
      </c>
      <c r="G99" s="10">
        <v>622461.99651319999</v>
      </c>
      <c r="H99" s="10">
        <v>956253.28446660005</v>
      </c>
    </row>
    <row r="100" spans="1:8" x14ac:dyDescent="0.3">
      <c r="A100" t="s">
        <v>130</v>
      </c>
      <c r="B100" t="s">
        <v>131</v>
      </c>
      <c r="C100" t="s">
        <v>151</v>
      </c>
      <c r="D100" t="s">
        <v>142</v>
      </c>
      <c r="F100" s="10">
        <v>379315.84116850002</v>
      </c>
      <c r="G100" s="10">
        <v>612999.31435340003</v>
      </c>
      <c r="H100" s="10">
        <v>992315.15552190004</v>
      </c>
    </row>
    <row r="101" spans="1:8" x14ac:dyDescent="0.3">
      <c r="A101" t="s">
        <v>130</v>
      </c>
      <c r="B101" t="s">
        <v>131</v>
      </c>
      <c r="C101" t="s">
        <v>151</v>
      </c>
      <c r="D101" t="s">
        <v>143</v>
      </c>
      <c r="F101" s="10">
        <v>396665.66389219998</v>
      </c>
      <c r="G101" s="10">
        <v>607550.85420379997</v>
      </c>
      <c r="H101" s="10">
        <v>1004216.518096</v>
      </c>
    </row>
    <row r="102" spans="1:8" x14ac:dyDescent="0.3">
      <c r="A102" t="s">
        <v>130</v>
      </c>
      <c r="B102" t="s">
        <v>131</v>
      </c>
      <c r="C102" t="s">
        <v>151</v>
      </c>
      <c r="D102" t="s">
        <v>144</v>
      </c>
      <c r="F102" s="10">
        <v>438124.5084167</v>
      </c>
      <c r="G102" s="10">
        <v>679080.7348488</v>
      </c>
      <c r="H102" s="10">
        <v>1117205.2432655001</v>
      </c>
    </row>
    <row r="103" spans="1:8" x14ac:dyDescent="0.3">
      <c r="A103" t="s">
        <v>130</v>
      </c>
      <c r="B103" t="s">
        <v>131</v>
      </c>
      <c r="C103" t="s">
        <v>152</v>
      </c>
      <c r="D103" t="s">
        <v>133</v>
      </c>
      <c r="F103" s="10">
        <v>59515832.187648401</v>
      </c>
      <c r="G103" s="10">
        <v>55599307.274406798</v>
      </c>
      <c r="H103" s="10">
        <v>115115139.46205521</v>
      </c>
    </row>
    <row r="104" spans="1:8" x14ac:dyDescent="0.3">
      <c r="A104" t="s">
        <v>130</v>
      </c>
      <c r="B104" t="s">
        <v>131</v>
      </c>
      <c r="C104" t="s">
        <v>152</v>
      </c>
      <c r="D104" t="s">
        <v>134</v>
      </c>
      <c r="F104" s="10">
        <v>63112544.522954702</v>
      </c>
      <c r="G104" s="10">
        <v>55846989.887441702</v>
      </c>
      <c r="H104" s="10">
        <v>118959534.4103964</v>
      </c>
    </row>
    <row r="105" spans="1:8" x14ac:dyDescent="0.3">
      <c r="A105" t="s">
        <v>130</v>
      </c>
      <c r="B105" t="s">
        <v>131</v>
      </c>
      <c r="C105" t="s">
        <v>152</v>
      </c>
      <c r="D105" t="s">
        <v>135</v>
      </c>
      <c r="F105" s="10">
        <v>59312705.438132398</v>
      </c>
      <c r="G105" s="10">
        <v>52851536.562580898</v>
      </c>
      <c r="H105" s="10">
        <v>112164242.00071329</v>
      </c>
    </row>
    <row r="106" spans="1:8" x14ac:dyDescent="0.3">
      <c r="A106" t="s">
        <v>130</v>
      </c>
      <c r="B106" t="s">
        <v>131</v>
      </c>
      <c r="C106" t="s">
        <v>152</v>
      </c>
      <c r="D106" t="s">
        <v>136</v>
      </c>
      <c r="F106" s="10">
        <v>54899913.993707702</v>
      </c>
      <c r="G106" s="10">
        <v>50905624.034052797</v>
      </c>
      <c r="H106" s="10">
        <v>105805538.02776051</v>
      </c>
    </row>
    <row r="107" spans="1:8" x14ac:dyDescent="0.3">
      <c r="A107" t="s">
        <v>130</v>
      </c>
      <c r="B107" t="s">
        <v>131</v>
      </c>
      <c r="C107" t="s">
        <v>152</v>
      </c>
      <c r="D107" t="s">
        <v>137</v>
      </c>
      <c r="F107" s="10">
        <v>57860474.498171099</v>
      </c>
      <c r="G107" s="10">
        <v>50837622.996183299</v>
      </c>
      <c r="H107" s="10">
        <v>108698097.4943544</v>
      </c>
    </row>
    <row r="108" spans="1:8" x14ac:dyDescent="0.3">
      <c r="A108" t="s">
        <v>130</v>
      </c>
      <c r="B108" t="s">
        <v>131</v>
      </c>
      <c r="C108" t="s">
        <v>152</v>
      </c>
      <c r="D108" t="s">
        <v>138</v>
      </c>
      <c r="F108" s="10">
        <v>61526718.256612301</v>
      </c>
      <c r="G108" s="10">
        <v>50508378.2109951</v>
      </c>
      <c r="H108" s="10">
        <v>112035096.46760741</v>
      </c>
    </row>
    <row r="109" spans="1:8" x14ac:dyDescent="0.3">
      <c r="A109" t="s">
        <v>130</v>
      </c>
      <c r="B109" t="s">
        <v>131</v>
      </c>
      <c r="C109" t="s">
        <v>152</v>
      </c>
      <c r="D109" t="s">
        <v>139</v>
      </c>
      <c r="F109" s="10">
        <v>60106175.614354402</v>
      </c>
      <c r="G109" s="10">
        <v>51882934.468808703</v>
      </c>
      <c r="H109" s="10">
        <v>111989110.08316311</v>
      </c>
    </row>
    <row r="110" spans="1:8" x14ac:dyDescent="0.3">
      <c r="A110" t="s">
        <v>130</v>
      </c>
      <c r="B110" t="s">
        <v>131</v>
      </c>
      <c r="C110" t="s">
        <v>152</v>
      </c>
      <c r="D110" t="s">
        <v>140</v>
      </c>
      <c r="F110" s="10">
        <v>60345165.786304697</v>
      </c>
      <c r="G110" s="10">
        <v>47980632.7432606</v>
      </c>
      <c r="H110" s="10">
        <v>108325798.5295653</v>
      </c>
    </row>
    <row r="111" spans="1:8" x14ac:dyDescent="0.3">
      <c r="A111" t="s">
        <v>130</v>
      </c>
      <c r="B111" t="s">
        <v>131</v>
      </c>
      <c r="C111" t="s">
        <v>152</v>
      </c>
      <c r="D111" t="s">
        <v>141</v>
      </c>
      <c r="F111" s="10">
        <v>56705424.468268499</v>
      </c>
      <c r="G111" s="10">
        <v>50201598.601666503</v>
      </c>
      <c r="H111" s="10">
        <v>106907023.06993499</v>
      </c>
    </row>
    <row r="112" spans="1:8" x14ac:dyDescent="0.3">
      <c r="A112" t="s">
        <v>130</v>
      </c>
      <c r="B112" t="s">
        <v>131</v>
      </c>
      <c r="C112" t="s">
        <v>152</v>
      </c>
      <c r="D112" t="s">
        <v>142</v>
      </c>
      <c r="F112" s="10">
        <v>53402128.568103798</v>
      </c>
      <c r="G112" s="10">
        <v>50874726.6774529</v>
      </c>
      <c r="H112" s="10">
        <v>104276855.2455567</v>
      </c>
    </row>
    <row r="113" spans="1:8" x14ac:dyDescent="0.3">
      <c r="A113" t="s">
        <v>130</v>
      </c>
      <c r="B113" t="s">
        <v>131</v>
      </c>
      <c r="C113" t="s">
        <v>152</v>
      </c>
      <c r="D113" t="s">
        <v>143</v>
      </c>
      <c r="F113" s="10">
        <v>51296230.068769</v>
      </c>
      <c r="G113" s="10">
        <v>48984351.001714498</v>
      </c>
      <c r="H113" s="10">
        <v>100280581.07048351</v>
      </c>
    </row>
    <row r="114" spans="1:8" x14ac:dyDescent="0.3">
      <c r="A114" t="s">
        <v>130</v>
      </c>
      <c r="B114" t="s">
        <v>131</v>
      </c>
      <c r="C114" t="s">
        <v>152</v>
      </c>
      <c r="D114" t="s">
        <v>144</v>
      </c>
      <c r="F114" s="10">
        <v>56010238.475719497</v>
      </c>
      <c r="G114" s="10">
        <v>51878855.134459503</v>
      </c>
      <c r="H114" s="10">
        <v>107889093.61017901</v>
      </c>
    </row>
    <row r="115" spans="1:8" x14ac:dyDescent="0.3">
      <c r="A115" t="s">
        <v>130</v>
      </c>
      <c r="B115" t="s">
        <v>131</v>
      </c>
      <c r="C115" t="s">
        <v>153</v>
      </c>
      <c r="D115" t="s">
        <v>133</v>
      </c>
      <c r="F115" s="10">
        <v>1281288.7478920999</v>
      </c>
      <c r="G115" s="10">
        <v>10494283.7661817</v>
      </c>
      <c r="H115" s="10">
        <v>11775572.5140738</v>
      </c>
    </row>
    <row r="116" spans="1:8" x14ac:dyDescent="0.3">
      <c r="A116" t="s">
        <v>130</v>
      </c>
      <c r="B116" t="s">
        <v>131</v>
      </c>
      <c r="C116" t="s">
        <v>153</v>
      </c>
      <c r="D116" t="s">
        <v>134</v>
      </c>
      <c r="F116" s="10">
        <v>1154070.3497961001</v>
      </c>
      <c r="G116" s="10">
        <v>9526299.4360150006</v>
      </c>
      <c r="H116" s="10">
        <v>10680369.7858111</v>
      </c>
    </row>
    <row r="117" spans="1:8" x14ac:dyDescent="0.3">
      <c r="A117" t="s">
        <v>130</v>
      </c>
      <c r="B117" t="s">
        <v>131</v>
      </c>
      <c r="C117" t="s">
        <v>153</v>
      </c>
      <c r="D117" t="s">
        <v>135</v>
      </c>
      <c r="F117" s="10">
        <v>1270093.7383973999</v>
      </c>
      <c r="G117" s="10">
        <v>10253543.199883301</v>
      </c>
      <c r="H117" s="10">
        <v>11523636.938280702</v>
      </c>
    </row>
    <row r="118" spans="1:8" x14ac:dyDescent="0.3">
      <c r="A118" t="s">
        <v>130</v>
      </c>
      <c r="B118" t="s">
        <v>131</v>
      </c>
      <c r="C118" t="s">
        <v>153</v>
      </c>
      <c r="D118" t="s">
        <v>136</v>
      </c>
      <c r="F118" s="10">
        <v>1230642.785312</v>
      </c>
      <c r="G118" s="10">
        <v>10086140.654908299</v>
      </c>
      <c r="H118" s="10">
        <v>11316783.4402203</v>
      </c>
    </row>
    <row r="119" spans="1:8" x14ac:dyDescent="0.3">
      <c r="A119" t="s">
        <v>130</v>
      </c>
      <c r="B119" t="s">
        <v>131</v>
      </c>
      <c r="C119" t="s">
        <v>153</v>
      </c>
      <c r="D119" t="s">
        <v>137</v>
      </c>
      <c r="F119" s="10">
        <v>1309922.2236810001</v>
      </c>
      <c r="G119" s="10">
        <v>9922802.7856468</v>
      </c>
      <c r="H119" s="10">
        <v>11232725.009327799</v>
      </c>
    </row>
    <row r="120" spans="1:8" x14ac:dyDescent="0.3">
      <c r="A120" t="s">
        <v>130</v>
      </c>
      <c r="B120" t="s">
        <v>131</v>
      </c>
      <c r="C120" t="s">
        <v>153</v>
      </c>
      <c r="D120" t="s">
        <v>138</v>
      </c>
      <c r="F120" s="10">
        <v>1119865.6861980001</v>
      </c>
      <c r="G120" s="10">
        <v>10094978.3283114</v>
      </c>
      <c r="H120" s="10">
        <v>11214844.0145094</v>
      </c>
    </row>
    <row r="121" spans="1:8" x14ac:dyDescent="0.3">
      <c r="A121" t="s">
        <v>130</v>
      </c>
      <c r="B121" t="s">
        <v>131</v>
      </c>
      <c r="C121" t="s">
        <v>153</v>
      </c>
      <c r="D121" t="s">
        <v>139</v>
      </c>
      <c r="F121" s="10">
        <v>1323251.5508134</v>
      </c>
      <c r="G121" s="10">
        <v>11188544.074028401</v>
      </c>
      <c r="H121" s="10">
        <v>12511795.6248418</v>
      </c>
    </row>
    <row r="122" spans="1:8" x14ac:dyDescent="0.3">
      <c r="A122" t="s">
        <v>130</v>
      </c>
      <c r="B122" t="s">
        <v>131</v>
      </c>
      <c r="C122" t="s">
        <v>153</v>
      </c>
      <c r="D122" t="s">
        <v>140</v>
      </c>
      <c r="F122" s="10">
        <v>1312914.0646027999</v>
      </c>
      <c r="G122" s="10">
        <v>10929883.431967201</v>
      </c>
      <c r="H122" s="10">
        <v>12242797.49657</v>
      </c>
    </row>
    <row r="123" spans="1:8" x14ac:dyDescent="0.3">
      <c r="A123" t="s">
        <v>130</v>
      </c>
      <c r="B123" t="s">
        <v>131</v>
      </c>
      <c r="C123" t="s">
        <v>153</v>
      </c>
      <c r="D123" t="s">
        <v>141</v>
      </c>
      <c r="F123" s="10">
        <v>1260400.7926834</v>
      </c>
      <c r="G123" s="10">
        <v>10495037.4518974</v>
      </c>
      <c r="H123" s="10">
        <v>11755438.2445808</v>
      </c>
    </row>
    <row r="124" spans="1:8" x14ac:dyDescent="0.3">
      <c r="A124" t="s">
        <v>130</v>
      </c>
      <c r="B124" t="s">
        <v>131</v>
      </c>
      <c r="C124" t="s">
        <v>153</v>
      </c>
      <c r="D124" t="s">
        <v>142</v>
      </c>
      <c r="F124" s="10">
        <v>1294003.0008355</v>
      </c>
      <c r="G124" s="10">
        <v>9824150.2032159008</v>
      </c>
      <c r="H124" s="10">
        <v>11118153.204051401</v>
      </c>
    </row>
    <row r="125" spans="1:8" x14ac:dyDescent="0.3">
      <c r="A125" t="s">
        <v>130</v>
      </c>
      <c r="B125" t="s">
        <v>131</v>
      </c>
      <c r="C125" t="s">
        <v>153</v>
      </c>
      <c r="D125" t="s">
        <v>143</v>
      </c>
      <c r="F125" s="10">
        <v>1303372.5872173</v>
      </c>
      <c r="G125" s="10">
        <v>9452863.2672624998</v>
      </c>
      <c r="H125" s="10">
        <v>10756235.854479799</v>
      </c>
    </row>
    <row r="126" spans="1:8" x14ac:dyDescent="0.3">
      <c r="A126" t="s">
        <v>130</v>
      </c>
      <c r="B126" t="s">
        <v>131</v>
      </c>
      <c r="C126" t="s">
        <v>153</v>
      </c>
      <c r="D126" t="s">
        <v>144</v>
      </c>
      <c r="F126" s="10">
        <v>1280464.4079523</v>
      </c>
      <c r="G126" s="10">
        <v>9627411.3132256996</v>
      </c>
      <c r="H126" s="10">
        <v>10907875.721177999</v>
      </c>
    </row>
    <row r="127" spans="1:8" x14ac:dyDescent="0.3">
      <c r="A127" t="s">
        <v>130</v>
      </c>
      <c r="B127" t="s">
        <v>131</v>
      </c>
      <c r="C127" t="s">
        <v>154</v>
      </c>
      <c r="D127" t="s">
        <v>133</v>
      </c>
      <c r="F127" s="10">
        <v>9828327.2383527998</v>
      </c>
      <c r="G127" s="10">
        <v>5227958.8657290004</v>
      </c>
      <c r="H127" s="10">
        <v>15056286.1040818</v>
      </c>
    </row>
    <row r="128" spans="1:8" x14ac:dyDescent="0.3">
      <c r="A128" t="s">
        <v>130</v>
      </c>
      <c r="B128" t="s">
        <v>131</v>
      </c>
      <c r="C128" t="s">
        <v>154</v>
      </c>
      <c r="D128" t="s">
        <v>134</v>
      </c>
      <c r="F128" s="10">
        <v>10229550.330840601</v>
      </c>
      <c r="G128" s="10">
        <v>5863266.4945150996</v>
      </c>
      <c r="H128" s="10">
        <v>16092816.825355701</v>
      </c>
    </row>
    <row r="129" spans="1:8" x14ac:dyDescent="0.3">
      <c r="A129" t="s">
        <v>130</v>
      </c>
      <c r="B129" t="s">
        <v>131</v>
      </c>
      <c r="C129" t="s">
        <v>154</v>
      </c>
      <c r="D129" t="s">
        <v>135</v>
      </c>
      <c r="F129" s="10">
        <v>8506869.2087692004</v>
      </c>
      <c r="G129" s="10">
        <v>5430320.3724990003</v>
      </c>
      <c r="H129" s="10">
        <v>13937189.581268201</v>
      </c>
    </row>
    <row r="130" spans="1:8" x14ac:dyDescent="0.3">
      <c r="A130" t="s">
        <v>130</v>
      </c>
      <c r="B130" t="s">
        <v>131</v>
      </c>
      <c r="C130" t="s">
        <v>154</v>
      </c>
      <c r="D130" t="s">
        <v>136</v>
      </c>
      <c r="F130" s="10">
        <v>7822491.4671323998</v>
      </c>
      <c r="G130" s="10">
        <v>4605085.741831</v>
      </c>
      <c r="H130" s="10">
        <v>12427577.2089634</v>
      </c>
    </row>
    <row r="131" spans="1:8" x14ac:dyDescent="0.3">
      <c r="A131" t="s">
        <v>130</v>
      </c>
      <c r="B131" t="s">
        <v>131</v>
      </c>
      <c r="C131" t="s">
        <v>154</v>
      </c>
      <c r="D131" t="s">
        <v>137</v>
      </c>
      <c r="F131" s="10">
        <v>7948960.3649824001</v>
      </c>
      <c r="G131" s="10">
        <v>4818754.9214601004</v>
      </c>
      <c r="H131" s="10">
        <v>12767715.2864425</v>
      </c>
    </row>
    <row r="132" spans="1:8" x14ac:dyDescent="0.3">
      <c r="A132" t="s">
        <v>130</v>
      </c>
      <c r="B132" t="s">
        <v>131</v>
      </c>
      <c r="C132" t="s">
        <v>154</v>
      </c>
      <c r="D132" t="s">
        <v>138</v>
      </c>
      <c r="F132" s="10">
        <v>8228248.4389653001</v>
      </c>
      <c r="G132" s="10">
        <v>4237112.9323628005</v>
      </c>
      <c r="H132" s="10">
        <v>12465361.371328101</v>
      </c>
    </row>
    <row r="133" spans="1:8" x14ac:dyDescent="0.3">
      <c r="A133" t="s">
        <v>130</v>
      </c>
      <c r="B133" t="s">
        <v>131</v>
      </c>
      <c r="C133" t="s">
        <v>154</v>
      </c>
      <c r="D133" t="s">
        <v>139</v>
      </c>
      <c r="F133" s="10">
        <v>7808954.3682356002</v>
      </c>
      <c r="G133" s="10">
        <v>4950209.1317822002</v>
      </c>
      <c r="H133" s="10">
        <v>12759163.500017799</v>
      </c>
    </row>
    <row r="134" spans="1:8" x14ac:dyDescent="0.3">
      <c r="A134" t="s">
        <v>130</v>
      </c>
      <c r="B134" t="s">
        <v>131</v>
      </c>
      <c r="C134" t="s">
        <v>154</v>
      </c>
      <c r="D134" t="s">
        <v>140</v>
      </c>
      <c r="F134" s="10">
        <v>7818543.1345908996</v>
      </c>
      <c r="G134" s="10">
        <v>5674150.0516392002</v>
      </c>
      <c r="H134" s="10">
        <v>13492693.186230101</v>
      </c>
    </row>
    <row r="135" spans="1:8" x14ac:dyDescent="0.3">
      <c r="A135" t="s">
        <v>130</v>
      </c>
      <c r="B135" t="s">
        <v>131</v>
      </c>
      <c r="C135" t="s">
        <v>154</v>
      </c>
      <c r="D135" t="s">
        <v>141</v>
      </c>
      <c r="F135" s="10">
        <v>7500270.6223453004</v>
      </c>
      <c r="G135" s="10">
        <v>4836167.3127706004</v>
      </c>
      <c r="H135" s="10">
        <v>12336437.9351159</v>
      </c>
    </row>
    <row r="136" spans="1:8" x14ac:dyDescent="0.3">
      <c r="A136" t="s">
        <v>130</v>
      </c>
      <c r="B136" t="s">
        <v>131</v>
      </c>
      <c r="C136" t="s">
        <v>154</v>
      </c>
      <c r="D136" t="s">
        <v>142</v>
      </c>
      <c r="F136" s="10">
        <v>7390445.9807342999</v>
      </c>
      <c r="G136" s="10">
        <v>4787936.1721483003</v>
      </c>
      <c r="H136" s="10">
        <v>12178382.1528826</v>
      </c>
    </row>
    <row r="137" spans="1:8" x14ac:dyDescent="0.3">
      <c r="A137" t="s">
        <v>130</v>
      </c>
      <c r="B137" t="s">
        <v>131</v>
      </c>
      <c r="C137" t="s">
        <v>154</v>
      </c>
      <c r="D137" t="s">
        <v>143</v>
      </c>
      <c r="F137" s="10">
        <v>7715756.4639304001</v>
      </c>
      <c r="G137" s="10">
        <v>4589326.3070823001</v>
      </c>
      <c r="H137" s="10">
        <v>12305082.771012701</v>
      </c>
    </row>
    <row r="138" spans="1:8" x14ac:dyDescent="0.3">
      <c r="A138" t="s">
        <v>130</v>
      </c>
      <c r="B138" t="s">
        <v>131</v>
      </c>
      <c r="C138" t="s">
        <v>154</v>
      </c>
      <c r="D138" t="s">
        <v>144</v>
      </c>
      <c r="F138" s="10">
        <v>8537164.2250436991</v>
      </c>
      <c r="G138" s="10">
        <v>4522383.6122936998</v>
      </c>
      <c r="H138" s="10">
        <v>13059547.837337399</v>
      </c>
    </row>
    <row r="139" spans="1:8" x14ac:dyDescent="0.3">
      <c r="A139" t="s">
        <v>130</v>
      </c>
      <c r="B139" t="s">
        <v>131</v>
      </c>
      <c r="C139" t="s">
        <v>155</v>
      </c>
      <c r="D139" t="s">
        <v>133</v>
      </c>
      <c r="F139" s="10">
        <v>573830.40213059995</v>
      </c>
      <c r="G139" s="10">
        <v>2469233.7484579999</v>
      </c>
      <c r="H139" s="10">
        <v>3043064.1505886</v>
      </c>
    </row>
    <row r="140" spans="1:8" x14ac:dyDescent="0.3">
      <c r="A140" t="s">
        <v>130</v>
      </c>
      <c r="B140" t="s">
        <v>131</v>
      </c>
      <c r="C140" t="s">
        <v>155</v>
      </c>
      <c r="D140" t="s">
        <v>134</v>
      </c>
      <c r="F140" s="10">
        <v>568762.63268319995</v>
      </c>
      <c r="G140" s="10">
        <v>2203364.6831402001</v>
      </c>
      <c r="H140" s="10">
        <v>2772127.3158233999</v>
      </c>
    </row>
    <row r="141" spans="1:8" x14ac:dyDescent="0.3">
      <c r="A141" t="s">
        <v>130</v>
      </c>
      <c r="B141" t="s">
        <v>131</v>
      </c>
      <c r="C141" t="s">
        <v>155</v>
      </c>
      <c r="D141" t="s">
        <v>135</v>
      </c>
      <c r="F141" s="10">
        <v>1227590.2811600999</v>
      </c>
      <c r="G141" s="10">
        <v>2296211.4155183001</v>
      </c>
      <c r="H141" s="10">
        <v>3523801.6966784</v>
      </c>
    </row>
    <row r="142" spans="1:8" x14ac:dyDescent="0.3">
      <c r="A142" t="s">
        <v>130</v>
      </c>
      <c r="B142" t="s">
        <v>131</v>
      </c>
      <c r="C142" t="s">
        <v>155</v>
      </c>
      <c r="D142" t="s">
        <v>136</v>
      </c>
      <c r="F142" s="10">
        <v>2562643.9699448999</v>
      </c>
      <c r="G142" s="10">
        <v>2158470.2461954001</v>
      </c>
      <c r="H142" s="10">
        <v>4721114.2161403</v>
      </c>
    </row>
    <row r="143" spans="1:8" x14ac:dyDescent="0.3">
      <c r="A143" t="s">
        <v>130</v>
      </c>
      <c r="B143" t="s">
        <v>131</v>
      </c>
      <c r="C143" t="s">
        <v>155</v>
      </c>
      <c r="D143" t="s">
        <v>137</v>
      </c>
      <c r="F143" s="10">
        <v>366993.38385560003</v>
      </c>
      <c r="G143" s="10">
        <v>2326062.9088280001</v>
      </c>
      <c r="H143" s="10">
        <v>2693056.2926836</v>
      </c>
    </row>
    <row r="144" spans="1:8" x14ac:dyDescent="0.3">
      <c r="A144" t="s">
        <v>130</v>
      </c>
      <c r="B144" t="s">
        <v>131</v>
      </c>
      <c r="C144" t="s">
        <v>155</v>
      </c>
      <c r="D144" t="s">
        <v>138</v>
      </c>
      <c r="F144" s="10">
        <v>115273.2206205</v>
      </c>
      <c r="G144" s="10">
        <v>2248552.1353523</v>
      </c>
      <c r="H144" s="10">
        <v>2363825.3559727999</v>
      </c>
    </row>
    <row r="145" spans="1:8" x14ac:dyDescent="0.3">
      <c r="A145" t="s">
        <v>130</v>
      </c>
      <c r="B145" t="s">
        <v>131</v>
      </c>
      <c r="C145" t="s">
        <v>155</v>
      </c>
      <c r="D145" t="s">
        <v>139</v>
      </c>
      <c r="F145" s="10">
        <v>115724.3027135</v>
      </c>
      <c r="G145" s="10">
        <v>2497598.0268573002</v>
      </c>
      <c r="H145" s="10">
        <v>2613322.3295708001</v>
      </c>
    </row>
    <row r="146" spans="1:8" x14ac:dyDescent="0.3">
      <c r="A146" t="s">
        <v>130</v>
      </c>
      <c r="B146" t="s">
        <v>131</v>
      </c>
      <c r="C146" t="s">
        <v>155</v>
      </c>
      <c r="D146" t="s">
        <v>140</v>
      </c>
      <c r="F146" s="10">
        <v>160118.36412789999</v>
      </c>
      <c r="G146" s="10">
        <v>2284376.5824777</v>
      </c>
      <c r="H146" s="10">
        <v>2444494.9466056</v>
      </c>
    </row>
    <row r="147" spans="1:8" x14ac:dyDescent="0.3">
      <c r="A147" t="s">
        <v>130</v>
      </c>
      <c r="B147" t="s">
        <v>131</v>
      </c>
      <c r="C147" t="s">
        <v>155</v>
      </c>
      <c r="D147" t="s">
        <v>141</v>
      </c>
      <c r="F147" s="10">
        <v>107223.7554406</v>
      </c>
      <c r="G147" s="10">
        <v>2235087.5915552001</v>
      </c>
      <c r="H147" s="10">
        <v>2342311.3469958003</v>
      </c>
    </row>
    <row r="148" spans="1:8" x14ac:dyDescent="0.3">
      <c r="A148" t="s">
        <v>130</v>
      </c>
      <c r="B148" t="s">
        <v>131</v>
      </c>
      <c r="C148" t="s">
        <v>155</v>
      </c>
      <c r="D148" t="s">
        <v>142</v>
      </c>
      <c r="F148" s="10">
        <v>20915.351638299999</v>
      </c>
      <c r="G148" s="10">
        <v>2298011.6489634998</v>
      </c>
      <c r="H148" s="10">
        <v>2318927.0006017997</v>
      </c>
    </row>
    <row r="149" spans="1:8" x14ac:dyDescent="0.3">
      <c r="A149" t="s">
        <v>130</v>
      </c>
      <c r="B149" t="s">
        <v>131</v>
      </c>
      <c r="C149" t="s">
        <v>155</v>
      </c>
      <c r="D149" t="s">
        <v>143</v>
      </c>
      <c r="F149" s="10">
        <v>12151.4037262</v>
      </c>
      <c r="G149" s="10">
        <v>2108580.0220086002</v>
      </c>
      <c r="H149" s="10">
        <v>2120731.4257348003</v>
      </c>
    </row>
    <row r="150" spans="1:8" x14ac:dyDescent="0.3">
      <c r="A150" t="s">
        <v>130</v>
      </c>
      <c r="B150" t="s">
        <v>131</v>
      </c>
      <c r="C150" t="s">
        <v>155</v>
      </c>
      <c r="D150" t="s">
        <v>144</v>
      </c>
      <c r="F150" s="10">
        <v>113154.74055469999</v>
      </c>
      <c r="G150" s="10">
        <v>2137867.2272323999</v>
      </c>
      <c r="H150" s="10">
        <v>2251021.9677871</v>
      </c>
    </row>
    <row r="151" spans="1:8" x14ac:dyDescent="0.3">
      <c r="A151" t="s">
        <v>130</v>
      </c>
      <c r="B151" t="s">
        <v>131</v>
      </c>
      <c r="C151" t="s">
        <v>156</v>
      </c>
      <c r="D151" t="s">
        <v>133</v>
      </c>
      <c r="G151" s="10">
        <v>19550333</v>
      </c>
      <c r="H151" s="10">
        <v>19550333</v>
      </c>
    </row>
    <row r="152" spans="1:8" x14ac:dyDescent="0.3">
      <c r="A152" t="s">
        <v>130</v>
      </c>
      <c r="B152" t="s">
        <v>131</v>
      </c>
      <c r="C152" t="s">
        <v>156</v>
      </c>
      <c r="D152" t="s">
        <v>134</v>
      </c>
      <c r="G152" s="10">
        <v>19563590</v>
      </c>
      <c r="H152" s="10">
        <v>19563590</v>
      </c>
    </row>
    <row r="153" spans="1:8" x14ac:dyDescent="0.3">
      <c r="A153" t="s">
        <v>130</v>
      </c>
      <c r="B153" t="s">
        <v>131</v>
      </c>
      <c r="C153" t="s">
        <v>156</v>
      </c>
      <c r="D153" t="s">
        <v>135</v>
      </c>
      <c r="G153" s="10">
        <v>17774818</v>
      </c>
      <c r="H153" s="10">
        <v>17774818</v>
      </c>
    </row>
    <row r="154" spans="1:8" x14ac:dyDescent="0.3">
      <c r="A154" t="s">
        <v>130</v>
      </c>
      <c r="B154" t="s">
        <v>131</v>
      </c>
      <c r="C154" t="s">
        <v>156</v>
      </c>
      <c r="D154" t="s">
        <v>136</v>
      </c>
      <c r="G154" s="10">
        <v>20847817</v>
      </c>
      <c r="H154" s="10">
        <v>20847817</v>
      </c>
    </row>
    <row r="155" spans="1:8" x14ac:dyDescent="0.3">
      <c r="A155" t="s">
        <v>130</v>
      </c>
      <c r="B155" t="s">
        <v>131</v>
      </c>
      <c r="C155" t="s">
        <v>156</v>
      </c>
      <c r="D155" t="s">
        <v>137</v>
      </c>
      <c r="G155" s="10">
        <v>16022267</v>
      </c>
      <c r="H155" s="10">
        <v>16022267</v>
      </c>
    </row>
    <row r="156" spans="1:8" x14ac:dyDescent="0.3">
      <c r="A156" t="s">
        <v>130</v>
      </c>
      <c r="B156" t="s">
        <v>131</v>
      </c>
      <c r="C156" t="s">
        <v>156</v>
      </c>
      <c r="D156" t="s">
        <v>138</v>
      </c>
      <c r="G156" s="10">
        <v>16879061</v>
      </c>
      <c r="H156" s="10">
        <v>16879061</v>
      </c>
    </row>
    <row r="157" spans="1:8" x14ac:dyDescent="0.3">
      <c r="A157" t="s">
        <v>130</v>
      </c>
      <c r="B157" t="s">
        <v>131</v>
      </c>
      <c r="C157" t="s">
        <v>156</v>
      </c>
      <c r="D157" t="s">
        <v>139</v>
      </c>
      <c r="G157" s="10">
        <v>16849481</v>
      </c>
      <c r="H157" s="10">
        <v>16849481</v>
      </c>
    </row>
    <row r="158" spans="1:8" x14ac:dyDescent="0.3">
      <c r="A158" t="s">
        <v>130</v>
      </c>
      <c r="B158" t="s">
        <v>131</v>
      </c>
      <c r="C158" t="s">
        <v>156</v>
      </c>
      <c r="D158" t="s">
        <v>140</v>
      </c>
      <c r="G158" s="10">
        <v>15796898</v>
      </c>
      <c r="H158" s="10">
        <v>15796898</v>
      </c>
    </row>
    <row r="159" spans="1:8" x14ac:dyDescent="0.3">
      <c r="A159" t="s">
        <v>130</v>
      </c>
      <c r="B159" t="s">
        <v>131</v>
      </c>
      <c r="C159" t="s">
        <v>156</v>
      </c>
      <c r="D159" t="s">
        <v>141</v>
      </c>
      <c r="G159" s="10">
        <v>18599735</v>
      </c>
      <c r="H159" s="10">
        <v>18599735</v>
      </c>
    </row>
    <row r="160" spans="1:8" x14ac:dyDescent="0.3">
      <c r="A160" t="s">
        <v>130</v>
      </c>
      <c r="B160" t="s">
        <v>131</v>
      </c>
      <c r="C160" t="s">
        <v>156</v>
      </c>
      <c r="D160" t="s">
        <v>142</v>
      </c>
      <c r="G160" s="10">
        <v>17397093</v>
      </c>
      <c r="H160" s="10">
        <v>17397093</v>
      </c>
    </row>
    <row r="161" spans="1:8" x14ac:dyDescent="0.3">
      <c r="A161" t="s">
        <v>130</v>
      </c>
      <c r="B161" t="s">
        <v>131</v>
      </c>
      <c r="C161" t="s">
        <v>156</v>
      </c>
      <c r="D161" t="s">
        <v>143</v>
      </c>
      <c r="G161" s="10">
        <v>18931468</v>
      </c>
      <c r="H161" s="10">
        <v>18931468</v>
      </c>
    </row>
    <row r="162" spans="1:8" x14ac:dyDescent="0.3">
      <c r="A162" t="s">
        <v>130</v>
      </c>
      <c r="B162" t="s">
        <v>131</v>
      </c>
      <c r="C162" t="s">
        <v>156</v>
      </c>
      <c r="D162" t="s">
        <v>144</v>
      </c>
      <c r="G162" s="10">
        <v>19090934</v>
      </c>
      <c r="H162" s="10">
        <v>19090934</v>
      </c>
    </row>
    <row r="163" spans="1:8" x14ac:dyDescent="0.3">
      <c r="A163" t="s">
        <v>130</v>
      </c>
      <c r="B163" t="s">
        <v>131</v>
      </c>
      <c r="C163" t="s">
        <v>157</v>
      </c>
      <c r="D163" t="s">
        <v>133</v>
      </c>
      <c r="E163" s="10">
        <v>989831089.41351914</v>
      </c>
      <c r="H163" s="10">
        <v>989831089.41351914</v>
      </c>
    </row>
    <row r="164" spans="1:8" x14ac:dyDescent="0.3">
      <c r="A164" t="s">
        <v>130</v>
      </c>
      <c r="B164" t="s">
        <v>131</v>
      </c>
      <c r="C164" t="s">
        <v>157</v>
      </c>
      <c r="D164" t="s">
        <v>134</v>
      </c>
      <c r="E164" s="10">
        <v>1063944671.97201</v>
      </c>
      <c r="H164" s="10">
        <v>1063944671.97201</v>
      </c>
    </row>
    <row r="165" spans="1:8" x14ac:dyDescent="0.3">
      <c r="A165" t="s">
        <v>130</v>
      </c>
      <c r="B165" t="s">
        <v>131</v>
      </c>
      <c r="C165" t="s">
        <v>157</v>
      </c>
      <c r="D165" t="s">
        <v>135</v>
      </c>
      <c r="E165" s="10">
        <v>924989212.84257317</v>
      </c>
      <c r="H165" s="10">
        <v>924989212.84257317</v>
      </c>
    </row>
    <row r="166" spans="1:8" x14ac:dyDescent="0.3">
      <c r="A166" t="s">
        <v>130</v>
      </c>
      <c r="B166" t="s">
        <v>131</v>
      </c>
      <c r="C166" t="s">
        <v>157</v>
      </c>
      <c r="D166" t="s">
        <v>136</v>
      </c>
      <c r="E166" s="10">
        <v>602699261.40076089</v>
      </c>
      <c r="H166" s="10">
        <v>602699261.40076089</v>
      </c>
    </row>
    <row r="167" spans="1:8" x14ac:dyDescent="0.3">
      <c r="A167" t="s">
        <v>130</v>
      </c>
      <c r="B167" t="s">
        <v>131</v>
      </c>
      <c r="C167" t="s">
        <v>157</v>
      </c>
      <c r="D167" t="s">
        <v>137</v>
      </c>
      <c r="E167" s="10">
        <v>519227040.08051598</v>
      </c>
      <c r="H167" s="10">
        <v>519227040.08051598</v>
      </c>
    </row>
    <row r="168" spans="1:8" x14ac:dyDescent="0.3">
      <c r="A168" t="s">
        <v>130</v>
      </c>
      <c r="B168" t="s">
        <v>131</v>
      </c>
      <c r="C168" t="s">
        <v>157</v>
      </c>
      <c r="D168" t="s">
        <v>138</v>
      </c>
      <c r="E168" s="10">
        <v>591603252.29704201</v>
      </c>
      <c r="H168" s="10">
        <v>591603252.29704201</v>
      </c>
    </row>
    <row r="169" spans="1:8" x14ac:dyDescent="0.3">
      <c r="A169" t="s">
        <v>130</v>
      </c>
      <c r="B169" t="s">
        <v>131</v>
      </c>
      <c r="C169" t="s">
        <v>157</v>
      </c>
      <c r="D169" t="s">
        <v>139</v>
      </c>
      <c r="E169" s="10">
        <v>685345798.73497999</v>
      </c>
      <c r="H169" s="10">
        <v>685345798.73497999</v>
      </c>
    </row>
    <row r="170" spans="1:8" x14ac:dyDescent="0.3">
      <c r="A170" t="s">
        <v>130</v>
      </c>
      <c r="B170" t="s">
        <v>131</v>
      </c>
      <c r="C170" t="s">
        <v>157</v>
      </c>
      <c r="D170" t="s">
        <v>140</v>
      </c>
      <c r="E170" s="10">
        <v>633079596.04284585</v>
      </c>
      <c r="H170" s="10">
        <v>633079596.04284585</v>
      </c>
    </row>
    <row r="171" spans="1:8" x14ac:dyDescent="0.3">
      <c r="A171" t="s">
        <v>130</v>
      </c>
      <c r="B171" t="s">
        <v>131</v>
      </c>
      <c r="C171" t="s">
        <v>157</v>
      </c>
      <c r="D171" t="s">
        <v>141</v>
      </c>
      <c r="E171" s="10">
        <v>577749241.78182817</v>
      </c>
      <c r="H171" s="10">
        <v>577749241.78182817</v>
      </c>
    </row>
    <row r="172" spans="1:8" x14ac:dyDescent="0.3">
      <c r="A172" t="s">
        <v>130</v>
      </c>
      <c r="B172" t="s">
        <v>131</v>
      </c>
      <c r="C172" t="s">
        <v>157</v>
      </c>
      <c r="D172" t="s">
        <v>142</v>
      </c>
      <c r="E172" s="10">
        <v>512580185.01475298</v>
      </c>
      <c r="H172" s="10">
        <v>512580185.01475298</v>
      </c>
    </row>
    <row r="173" spans="1:8" x14ac:dyDescent="0.3">
      <c r="A173" t="s">
        <v>130</v>
      </c>
      <c r="B173" t="s">
        <v>131</v>
      </c>
      <c r="C173" t="s">
        <v>157</v>
      </c>
      <c r="D173" t="s">
        <v>143</v>
      </c>
      <c r="E173" s="10">
        <v>497167744.412727</v>
      </c>
      <c r="H173" s="10">
        <v>497167744.412727</v>
      </c>
    </row>
    <row r="174" spans="1:8" x14ac:dyDescent="0.3">
      <c r="A174" t="s">
        <v>130</v>
      </c>
      <c r="B174" t="s">
        <v>131</v>
      </c>
      <c r="C174" t="s">
        <v>157</v>
      </c>
      <c r="D174" t="s">
        <v>144</v>
      </c>
      <c r="E174" s="10">
        <v>674986924.24162102</v>
      </c>
      <c r="H174" s="10">
        <v>674986924.24162102</v>
      </c>
    </row>
    <row r="175" spans="1:8" x14ac:dyDescent="0.3">
      <c r="A175" t="s">
        <v>130</v>
      </c>
      <c r="B175" t="s">
        <v>131</v>
      </c>
      <c r="C175" t="s">
        <v>158</v>
      </c>
      <c r="D175" t="s">
        <v>133</v>
      </c>
      <c r="E175" s="10">
        <v>63273502.197957501</v>
      </c>
      <c r="H175" s="10">
        <v>63273502.197957501</v>
      </c>
    </row>
    <row r="176" spans="1:8" x14ac:dyDescent="0.3">
      <c r="A176" t="s">
        <v>130</v>
      </c>
      <c r="B176" t="s">
        <v>131</v>
      </c>
      <c r="C176" t="s">
        <v>158</v>
      </c>
      <c r="D176" t="s">
        <v>134</v>
      </c>
      <c r="E176" s="10">
        <v>68194800.535864606</v>
      </c>
      <c r="H176" s="10">
        <v>68194800.535864606</v>
      </c>
    </row>
    <row r="177" spans="1:8" x14ac:dyDescent="0.3">
      <c r="A177" t="s">
        <v>130</v>
      </c>
      <c r="B177" t="s">
        <v>131</v>
      </c>
      <c r="C177" t="s">
        <v>158</v>
      </c>
      <c r="D177" t="s">
        <v>135</v>
      </c>
      <c r="E177" s="10">
        <v>62201617.000900097</v>
      </c>
      <c r="H177" s="10">
        <v>62201617.000900097</v>
      </c>
    </row>
    <row r="178" spans="1:8" x14ac:dyDescent="0.3">
      <c r="A178" t="s">
        <v>130</v>
      </c>
      <c r="B178" t="s">
        <v>131</v>
      </c>
      <c r="C178" t="s">
        <v>158</v>
      </c>
      <c r="D178" t="s">
        <v>136</v>
      </c>
      <c r="E178" s="10">
        <v>46343891.033477202</v>
      </c>
      <c r="H178" s="10">
        <v>46343891.033477202</v>
      </c>
    </row>
    <row r="179" spans="1:8" x14ac:dyDescent="0.3">
      <c r="A179" t="s">
        <v>130</v>
      </c>
      <c r="B179" t="s">
        <v>131</v>
      </c>
      <c r="C179" t="s">
        <v>158</v>
      </c>
      <c r="D179" t="s">
        <v>137</v>
      </c>
      <c r="E179" s="10">
        <v>55812508.562915199</v>
      </c>
      <c r="H179" s="10">
        <v>55812508.562915199</v>
      </c>
    </row>
    <row r="180" spans="1:8" x14ac:dyDescent="0.3">
      <c r="A180" t="s">
        <v>130</v>
      </c>
      <c r="B180" t="s">
        <v>131</v>
      </c>
      <c r="C180" t="s">
        <v>158</v>
      </c>
      <c r="D180" t="s">
        <v>138</v>
      </c>
      <c r="E180" s="10">
        <v>87915276.516503707</v>
      </c>
      <c r="H180" s="10">
        <v>87915276.516503707</v>
      </c>
    </row>
    <row r="181" spans="1:8" x14ac:dyDescent="0.3">
      <c r="A181" t="s">
        <v>130</v>
      </c>
      <c r="B181" t="s">
        <v>131</v>
      </c>
      <c r="C181" t="s">
        <v>158</v>
      </c>
      <c r="D181" t="s">
        <v>139</v>
      </c>
      <c r="E181" s="10">
        <v>118687177.953556</v>
      </c>
      <c r="H181" s="10">
        <v>118687177.953556</v>
      </c>
    </row>
    <row r="182" spans="1:8" x14ac:dyDescent="0.3">
      <c r="A182" t="s">
        <v>130</v>
      </c>
      <c r="B182" t="s">
        <v>131</v>
      </c>
      <c r="C182" t="s">
        <v>158</v>
      </c>
      <c r="D182" t="s">
        <v>140</v>
      </c>
      <c r="E182" s="10">
        <v>117646843.30223399</v>
      </c>
      <c r="H182" s="10">
        <v>117646843.30223399</v>
      </c>
    </row>
    <row r="183" spans="1:8" x14ac:dyDescent="0.3">
      <c r="A183" t="s">
        <v>130</v>
      </c>
      <c r="B183" t="s">
        <v>131</v>
      </c>
      <c r="C183" t="s">
        <v>158</v>
      </c>
      <c r="D183" t="s">
        <v>141</v>
      </c>
      <c r="E183" s="10">
        <v>108517006.3549581</v>
      </c>
      <c r="H183" s="10">
        <v>108517006.3549581</v>
      </c>
    </row>
    <row r="184" spans="1:8" x14ac:dyDescent="0.3">
      <c r="A184" t="s">
        <v>130</v>
      </c>
      <c r="B184" t="s">
        <v>131</v>
      </c>
      <c r="C184" t="s">
        <v>158</v>
      </c>
      <c r="D184" t="s">
        <v>142</v>
      </c>
      <c r="E184" s="10">
        <v>82424790.529413193</v>
      </c>
      <c r="H184" s="10">
        <v>82424790.529413193</v>
      </c>
    </row>
    <row r="185" spans="1:8" x14ac:dyDescent="0.3">
      <c r="A185" t="s">
        <v>130</v>
      </c>
      <c r="B185" t="s">
        <v>131</v>
      </c>
      <c r="C185" t="s">
        <v>158</v>
      </c>
      <c r="D185" t="s">
        <v>143</v>
      </c>
      <c r="E185" s="10">
        <v>59265826.103557602</v>
      </c>
      <c r="H185" s="10">
        <v>59265826.103557602</v>
      </c>
    </row>
    <row r="186" spans="1:8" x14ac:dyDescent="0.3">
      <c r="A186" t="s">
        <v>130</v>
      </c>
      <c r="B186" t="s">
        <v>131</v>
      </c>
      <c r="C186" t="s">
        <v>158</v>
      </c>
      <c r="D186" t="s">
        <v>144</v>
      </c>
      <c r="E186" s="10">
        <v>54357110.842777602</v>
      </c>
      <c r="H186" s="10">
        <v>54357110.842777602</v>
      </c>
    </row>
    <row r="187" spans="1:8" x14ac:dyDescent="0.3">
      <c r="A187" t="s">
        <v>130</v>
      </c>
      <c r="B187" t="s">
        <v>131</v>
      </c>
      <c r="C187" t="s">
        <v>159</v>
      </c>
      <c r="D187" t="s">
        <v>133</v>
      </c>
      <c r="E187" s="10">
        <v>1163846.6538702999</v>
      </c>
      <c r="H187" s="10">
        <v>1163846.6538702999</v>
      </c>
    </row>
    <row r="188" spans="1:8" x14ac:dyDescent="0.3">
      <c r="A188" t="s">
        <v>130</v>
      </c>
      <c r="B188" t="s">
        <v>131</v>
      </c>
      <c r="C188" t="s">
        <v>159</v>
      </c>
      <c r="D188" t="s">
        <v>134</v>
      </c>
      <c r="E188" s="10">
        <v>1146384.4650844999</v>
      </c>
      <c r="H188" s="10">
        <v>1146384.4650844999</v>
      </c>
    </row>
    <row r="189" spans="1:8" x14ac:dyDescent="0.3">
      <c r="A189" t="s">
        <v>130</v>
      </c>
      <c r="B189" t="s">
        <v>131</v>
      </c>
      <c r="C189" t="s">
        <v>159</v>
      </c>
      <c r="D189" t="s">
        <v>135</v>
      </c>
      <c r="E189" s="10">
        <v>1060651.9587516</v>
      </c>
      <c r="H189" s="10">
        <v>1060651.9587516</v>
      </c>
    </row>
    <row r="190" spans="1:8" x14ac:dyDescent="0.3">
      <c r="A190" t="s">
        <v>130</v>
      </c>
      <c r="B190" t="s">
        <v>131</v>
      </c>
      <c r="C190" t="s">
        <v>159</v>
      </c>
      <c r="D190" t="s">
        <v>136</v>
      </c>
      <c r="E190" s="10">
        <v>824410.58243039995</v>
      </c>
      <c r="H190" s="10">
        <v>824410.58243039995</v>
      </c>
    </row>
    <row r="191" spans="1:8" x14ac:dyDescent="0.3">
      <c r="A191" t="s">
        <v>130</v>
      </c>
      <c r="B191" t="s">
        <v>131</v>
      </c>
      <c r="C191" t="s">
        <v>159</v>
      </c>
      <c r="D191" t="s">
        <v>137</v>
      </c>
      <c r="E191" s="10">
        <v>992927.60729209997</v>
      </c>
      <c r="H191" s="10">
        <v>992927.60729209997</v>
      </c>
    </row>
    <row r="192" spans="1:8" x14ac:dyDescent="0.3">
      <c r="A192" t="s">
        <v>130</v>
      </c>
      <c r="B192" t="s">
        <v>131</v>
      </c>
      <c r="C192" t="s">
        <v>159</v>
      </c>
      <c r="D192" t="s">
        <v>138</v>
      </c>
      <c r="E192" s="10">
        <v>1377503.3132487</v>
      </c>
      <c r="H192" s="10">
        <v>1377503.3132487</v>
      </c>
    </row>
    <row r="193" spans="1:8" x14ac:dyDescent="0.3">
      <c r="A193" t="s">
        <v>130</v>
      </c>
      <c r="B193" t="s">
        <v>131</v>
      </c>
      <c r="C193" t="s">
        <v>159</v>
      </c>
      <c r="D193" t="s">
        <v>139</v>
      </c>
      <c r="E193" s="10">
        <v>1704215.7249571001</v>
      </c>
      <c r="H193" s="10">
        <v>1704215.7249571001</v>
      </c>
    </row>
    <row r="194" spans="1:8" x14ac:dyDescent="0.3">
      <c r="A194" t="s">
        <v>130</v>
      </c>
      <c r="B194" t="s">
        <v>131</v>
      </c>
      <c r="C194" t="s">
        <v>159</v>
      </c>
      <c r="D194" t="s">
        <v>140</v>
      </c>
      <c r="E194" s="10">
        <v>1677275.1250760001</v>
      </c>
      <c r="H194" s="10">
        <v>1677275.1250760001</v>
      </c>
    </row>
    <row r="195" spans="1:8" x14ac:dyDescent="0.3">
      <c r="A195" t="s">
        <v>130</v>
      </c>
      <c r="B195" t="s">
        <v>131</v>
      </c>
      <c r="C195" t="s">
        <v>159</v>
      </c>
      <c r="D195" t="s">
        <v>141</v>
      </c>
      <c r="E195" s="10">
        <v>1430432.9369979999</v>
      </c>
      <c r="H195" s="10">
        <v>1430432.9369979999</v>
      </c>
    </row>
    <row r="196" spans="1:8" x14ac:dyDescent="0.3">
      <c r="A196" t="s">
        <v>130</v>
      </c>
      <c r="B196" t="s">
        <v>131</v>
      </c>
      <c r="C196" t="s">
        <v>159</v>
      </c>
      <c r="D196" t="s">
        <v>142</v>
      </c>
      <c r="E196" s="10">
        <v>1115392.8399745999</v>
      </c>
      <c r="H196" s="10">
        <v>1115392.8399745999</v>
      </c>
    </row>
    <row r="197" spans="1:8" x14ac:dyDescent="0.3">
      <c r="A197" t="s">
        <v>130</v>
      </c>
      <c r="B197" t="s">
        <v>131</v>
      </c>
      <c r="C197" t="s">
        <v>159</v>
      </c>
      <c r="D197" t="s">
        <v>143</v>
      </c>
      <c r="E197" s="10">
        <v>929701.10558860004</v>
      </c>
      <c r="H197" s="10">
        <v>929701.10558860004</v>
      </c>
    </row>
    <row r="198" spans="1:8" x14ac:dyDescent="0.3">
      <c r="A198" t="s">
        <v>130</v>
      </c>
      <c r="B198" t="s">
        <v>131</v>
      </c>
      <c r="C198" t="s">
        <v>159</v>
      </c>
      <c r="D198" t="s">
        <v>144</v>
      </c>
      <c r="E198" s="10">
        <v>974743.92465649999</v>
      </c>
      <c r="H198" s="10">
        <v>974743.92465649999</v>
      </c>
    </row>
    <row r="199" spans="1:8" x14ac:dyDescent="0.3">
      <c r="A199" t="s">
        <v>130</v>
      </c>
      <c r="B199" t="s">
        <v>131</v>
      </c>
      <c r="C199" t="s">
        <v>160</v>
      </c>
      <c r="D199" t="s">
        <v>133</v>
      </c>
      <c r="E199" s="10">
        <v>11019435.830941699</v>
      </c>
      <c r="H199" s="10">
        <v>11019435.830941699</v>
      </c>
    </row>
    <row r="200" spans="1:8" x14ac:dyDescent="0.3">
      <c r="A200" t="s">
        <v>130</v>
      </c>
      <c r="B200" t="s">
        <v>131</v>
      </c>
      <c r="C200" t="s">
        <v>160</v>
      </c>
      <c r="D200" t="s">
        <v>134</v>
      </c>
      <c r="E200" s="10">
        <v>11562011.992056301</v>
      </c>
      <c r="H200" s="10">
        <v>11562011.992056301</v>
      </c>
    </row>
    <row r="201" spans="1:8" x14ac:dyDescent="0.3">
      <c r="A201" t="s">
        <v>130</v>
      </c>
      <c r="B201" t="s">
        <v>131</v>
      </c>
      <c r="C201" t="s">
        <v>160</v>
      </c>
      <c r="D201" t="s">
        <v>135</v>
      </c>
      <c r="E201" s="10">
        <v>10208949.270188499</v>
      </c>
      <c r="H201" s="10">
        <v>10208949.270188499</v>
      </c>
    </row>
    <row r="202" spans="1:8" x14ac:dyDescent="0.3">
      <c r="A202" t="s">
        <v>130</v>
      </c>
      <c r="B202" t="s">
        <v>131</v>
      </c>
      <c r="C202" t="s">
        <v>160</v>
      </c>
      <c r="D202" t="s">
        <v>136</v>
      </c>
      <c r="E202" s="10">
        <v>7186392.0312991003</v>
      </c>
      <c r="H202" s="10">
        <v>7186392.0312991003</v>
      </c>
    </row>
    <row r="203" spans="1:8" x14ac:dyDescent="0.3">
      <c r="A203" t="s">
        <v>130</v>
      </c>
      <c r="B203" t="s">
        <v>131</v>
      </c>
      <c r="C203" t="s">
        <v>160</v>
      </c>
      <c r="D203" t="s">
        <v>137</v>
      </c>
      <c r="E203" s="10">
        <v>7027553.0225751996</v>
      </c>
      <c r="H203" s="10">
        <v>7027553.0225751996</v>
      </c>
    </row>
    <row r="204" spans="1:8" x14ac:dyDescent="0.3">
      <c r="A204" t="s">
        <v>130</v>
      </c>
      <c r="B204" t="s">
        <v>131</v>
      </c>
      <c r="C204" t="s">
        <v>160</v>
      </c>
      <c r="D204" t="s">
        <v>138</v>
      </c>
      <c r="E204" s="10">
        <v>8777771.3754957002</v>
      </c>
      <c r="H204" s="10">
        <v>8777771.3754957002</v>
      </c>
    </row>
    <row r="205" spans="1:8" x14ac:dyDescent="0.3">
      <c r="A205" t="s">
        <v>130</v>
      </c>
      <c r="B205" t="s">
        <v>131</v>
      </c>
      <c r="C205" t="s">
        <v>160</v>
      </c>
      <c r="D205" t="s">
        <v>139</v>
      </c>
      <c r="E205" s="10">
        <v>10526104.9472926</v>
      </c>
      <c r="H205" s="10">
        <v>10526104.9472926</v>
      </c>
    </row>
    <row r="206" spans="1:8" x14ac:dyDescent="0.3">
      <c r="A206" t="s">
        <v>130</v>
      </c>
      <c r="B206" t="s">
        <v>131</v>
      </c>
      <c r="C206" t="s">
        <v>160</v>
      </c>
      <c r="D206" t="s">
        <v>140</v>
      </c>
      <c r="E206" s="10">
        <v>10024818.225466499</v>
      </c>
      <c r="H206" s="10">
        <v>10024818.225466499</v>
      </c>
    </row>
    <row r="207" spans="1:8" x14ac:dyDescent="0.3">
      <c r="A207" t="s">
        <v>130</v>
      </c>
      <c r="B207" t="s">
        <v>131</v>
      </c>
      <c r="C207" t="s">
        <v>160</v>
      </c>
      <c r="D207" t="s">
        <v>141</v>
      </c>
      <c r="E207" s="10">
        <v>9123150.9210078996</v>
      </c>
      <c r="H207" s="10">
        <v>9123150.9210078996</v>
      </c>
    </row>
    <row r="208" spans="1:8" x14ac:dyDescent="0.3">
      <c r="A208" t="s">
        <v>130</v>
      </c>
      <c r="B208" t="s">
        <v>131</v>
      </c>
      <c r="C208" t="s">
        <v>160</v>
      </c>
      <c r="D208" t="s">
        <v>142</v>
      </c>
      <c r="E208" s="10">
        <v>7904420.5746491998</v>
      </c>
      <c r="H208" s="10">
        <v>7904420.5746491998</v>
      </c>
    </row>
    <row r="209" spans="1:8" x14ac:dyDescent="0.3">
      <c r="A209" t="s">
        <v>130</v>
      </c>
      <c r="B209" t="s">
        <v>131</v>
      </c>
      <c r="C209" t="s">
        <v>160</v>
      </c>
      <c r="D209" t="s">
        <v>143</v>
      </c>
      <c r="E209" s="10">
        <v>7067705.3461416001</v>
      </c>
      <c r="H209" s="10">
        <v>7067705.3461416001</v>
      </c>
    </row>
    <row r="210" spans="1:8" x14ac:dyDescent="0.3">
      <c r="A210" t="s">
        <v>130</v>
      </c>
      <c r="B210" t="s">
        <v>131</v>
      </c>
      <c r="C210" t="s">
        <v>160</v>
      </c>
      <c r="D210" t="s">
        <v>144</v>
      </c>
      <c r="E210" s="10">
        <v>8299200.9142258</v>
      </c>
      <c r="H210" s="10">
        <v>8299200.9142258</v>
      </c>
    </row>
    <row r="211" spans="1:8" x14ac:dyDescent="0.3">
      <c r="A211" t="s">
        <v>130</v>
      </c>
      <c r="B211" t="s">
        <v>131</v>
      </c>
      <c r="C211" t="s">
        <v>161</v>
      </c>
      <c r="D211" t="s">
        <v>133</v>
      </c>
      <c r="E211" s="10">
        <v>4542620.9622873003</v>
      </c>
      <c r="H211" s="10">
        <v>4542620.9622873003</v>
      </c>
    </row>
    <row r="212" spans="1:8" x14ac:dyDescent="0.3">
      <c r="A212" t="s">
        <v>130</v>
      </c>
      <c r="B212" t="s">
        <v>131</v>
      </c>
      <c r="C212" t="s">
        <v>161</v>
      </c>
      <c r="D212" t="s">
        <v>134</v>
      </c>
      <c r="E212" s="10">
        <v>4760759.7306220997</v>
      </c>
      <c r="H212" s="10">
        <v>4760759.7306220997</v>
      </c>
    </row>
    <row r="213" spans="1:8" x14ac:dyDescent="0.3">
      <c r="A213" t="s">
        <v>130</v>
      </c>
      <c r="B213" t="s">
        <v>131</v>
      </c>
      <c r="C213" t="s">
        <v>161</v>
      </c>
      <c r="D213" t="s">
        <v>135</v>
      </c>
      <c r="E213" s="10">
        <v>4316782.5171571001</v>
      </c>
      <c r="H213" s="10">
        <v>4316782.5171571001</v>
      </c>
    </row>
    <row r="214" spans="1:8" x14ac:dyDescent="0.3">
      <c r="A214" t="s">
        <v>130</v>
      </c>
      <c r="B214" t="s">
        <v>131</v>
      </c>
      <c r="C214" t="s">
        <v>161</v>
      </c>
      <c r="D214" t="s">
        <v>136</v>
      </c>
      <c r="E214" s="10">
        <v>3392329.1945627001</v>
      </c>
      <c r="H214" s="10">
        <v>3392329.1945627001</v>
      </c>
    </row>
    <row r="215" spans="1:8" x14ac:dyDescent="0.3">
      <c r="A215" t="s">
        <v>130</v>
      </c>
      <c r="B215" t="s">
        <v>131</v>
      </c>
      <c r="C215" t="s">
        <v>161</v>
      </c>
      <c r="D215" t="s">
        <v>137</v>
      </c>
      <c r="E215" s="10">
        <v>4440161.4833870996</v>
      </c>
      <c r="H215" s="10">
        <v>4440161.4833870996</v>
      </c>
    </row>
    <row r="216" spans="1:8" x14ac:dyDescent="0.3">
      <c r="A216" t="s">
        <v>130</v>
      </c>
      <c r="B216" t="s">
        <v>131</v>
      </c>
      <c r="C216" t="s">
        <v>161</v>
      </c>
      <c r="D216" t="s">
        <v>138</v>
      </c>
      <c r="E216" s="10">
        <v>6972507.6319001997</v>
      </c>
      <c r="H216" s="10">
        <v>6972507.6319001997</v>
      </c>
    </row>
    <row r="217" spans="1:8" x14ac:dyDescent="0.3">
      <c r="A217" t="s">
        <v>130</v>
      </c>
      <c r="B217" t="s">
        <v>131</v>
      </c>
      <c r="C217" t="s">
        <v>161</v>
      </c>
      <c r="D217" t="s">
        <v>139</v>
      </c>
      <c r="E217" s="10">
        <v>9252903.3164061997</v>
      </c>
      <c r="H217" s="10">
        <v>9252903.3164061997</v>
      </c>
    </row>
    <row r="218" spans="1:8" x14ac:dyDescent="0.3">
      <c r="A218" t="s">
        <v>130</v>
      </c>
      <c r="B218" t="s">
        <v>131</v>
      </c>
      <c r="C218" t="s">
        <v>161</v>
      </c>
      <c r="D218" t="s">
        <v>140</v>
      </c>
      <c r="E218" s="10">
        <v>9143815.0922087003</v>
      </c>
      <c r="H218" s="10">
        <v>9143815.0922087003</v>
      </c>
    </row>
    <row r="219" spans="1:8" x14ac:dyDescent="0.3">
      <c r="A219" t="s">
        <v>130</v>
      </c>
      <c r="B219" t="s">
        <v>131</v>
      </c>
      <c r="C219" t="s">
        <v>161</v>
      </c>
      <c r="D219" t="s">
        <v>141</v>
      </c>
      <c r="E219" s="10">
        <v>8081486.7734516002</v>
      </c>
      <c r="H219" s="10">
        <v>8081486.7734516002</v>
      </c>
    </row>
    <row r="220" spans="1:8" x14ac:dyDescent="0.3">
      <c r="A220" t="s">
        <v>130</v>
      </c>
      <c r="B220" t="s">
        <v>131</v>
      </c>
      <c r="C220" t="s">
        <v>161</v>
      </c>
      <c r="D220" t="s">
        <v>142</v>
      </c>
      <c r="E220" s="10">
        <v>6561329.7617653003</v>
      </c>
      <c r="H220" s="10">
        <v>6561329.7617653003</v>
      </c>
    </row>
    <row r="221" spans="1:8" x14ac:dyDescent="0.3">
      <c r="A221" t="s">
        <v>130</v>
      </c>
      <c r="B221" t="s">
        <v>131</v>
      </c>
      <c r="C221" t="s">
        <v>161</v>
      </c>
      <c r="D221" t="s">
        <v>143</v>
      </c>
      <c r="E221" s="10">
        <v>4790616.8788740998</v>
      </c>
      <c r="H221" s="10">
        <v>4790616.8788740998</v>
      </c>
    </row>
    <row r="222" spans="1:8" ht="16.2" x14ac:dyDescent="0.45">
      <c r="A222" t="s">
        <v>130</v>
      </c>
      <c r="B222" t="s">
        <v>131</v>
      </c>
      <c r="C222" t="s">
        <v>161</v>
      </c>
      <c r="D222" t="s">
        <v>144</v>
      </c>
      <c r="E222" s="10">
        <v>4116947.2260749</v>
      </c>
      <c r="H222" s="20">
        <v>4116947.2260749</v>
      </c>
    </row>
    <row r="223" spans="1:8" x14ac:dyDescent="0.3">
      <c r="G223" s="10" t="s">
        <v>3</v>
      </c>
      <c r="H223" s="63">
        <f>SUM(H7:H222)</f>
        <v>19687512295.599998</v>
      </c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77F3898F7EED45A00CFBB4E2F5DAEA" ma:contentTypeVersion="4" ma:contentTypeDescription="Create a new document." ma:contentTypeScope="" ma:versionID="fb1b70d401610a1553d2c82b319f9b7d">
  <xsd:schema xmlns:xsd="http://www.w3.org/2001/XMLSchema" xmlns:xs="http://www.w3.org/2001/XMLSchema" xmlns:p="http://schemas.microsoft.com/office/2006/metadata/properties" xmlns:ns2="9c719a46-8d19-48c7-8a32-b8168c380177" targetNamespace="http://schemas.microsoft.com/office/2006/metadata/properties" ma:root="true" ma:fieldsID="451850485f6bbf4ac2d63cc855da9956" ns2:_="">
    <xsd:import namespace="9c719a46-8d19-48c7-8a32-b8168c3801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19a46-8d19-48c7-8a32-b8168c3801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90C9EF-124B-4A04-B746-6D80A545C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19a46-8d19-48c7-8a32-b8168c380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6404AE-0AD9-4099-B67A-253A697BEA0C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9c719a46-8d19-48c7-8a32-b8168c380177"/>
  </ds:schemaRefs>
</ds:datastoreItem>
</file>

<file path=customXml/itemProps3.xml><?xml version="1.0" encoding="utf-8"?>
<ds:datastoreItem xmlns:ds="http://schemas.openxmlformats.org/officeDocument/2006/customXml" ds:itemID="{327100A0-26A5-4EF1-8AC8-6174E29D91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Actual EEC revenues  rate class</vt:lpstr>
      <vt:lpstr>Monthly Revenue Req.</vt:lpstr>
      <vt:lpstr>Reconciliation</vt:lpstr>
      <vt:lpstr>Projected Rev. Req</vt:lpstr>
      <vt:lpstr>Rate Calculation</vt:lpstr>
      <vt:lpstr>Journal Entries</vt:lpstr>
      <vt:lpstr>Rate Impacts</vt:lpstr>
      <vt:lpstr>kwh forecast</vt:lpstr>
    </vt:vector>
  </TitlesOfParts>
  <Manager/>
  <Company>FirstEnergy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Siedt, Kevin M</dc:creator>
  <cp:keywords/>
  <dc:description/>
  <cp:lastModifiedBy>Eckert, Joshua R</cp:lastModifiedBy>
  <cp:revision/>
  <dcterms:created xsi:type="dcterms:W3CDTF">2021-12-10T17:16:59Z</dcterms:created>
  <dcterms:modified xsi:type="dcterms:W3CDTF">2022-02-01T21:27:26Z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0x0101000D77F3898F7EED45A00CFBB4E2F5DAEA</vt:lpwstr>
  </property>
</Properties>
</file>