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U:\Corp\Rates\MGO\2022\2022 Rider RRC Filing (ERxxxxxxxx)\1-Petition\Workpapers\"/>
    </mc:Choice>
  </mc:AlternateContent>
  <xr:revisionPtr revIDLastSave="0" documentId="8_{E9A28496-06D4-4306-9FBB-9146E40C4CCB}" xr6:coauthVersionLast="47" xr6:coauthVersionMax="47" xr10:uidLastSave="{00000000-0000-0000-0000-000000000000}"/>
  <bookViews>
    <workbookView xWindow="-110" yWindow="-110" windowWidth="19420" windowHeight="10400" tabRatio="901" xr2:uid="{C52B4F1F-8D61-4A70-9FB0-295BFF3C1109}"/>
  </bookViews>
  <sheets>
    <sheet name="RRC Component Rates (RRC-1)" sheetId="9" r:id="rId1"/>
    <sheet name="Actual EEC rev.- class (EE&amp;C-1)" sheetId="2" r:id="rId2"/>
    <sheet name="Monthly Revenue Req. (EE&amp;C-2)" sheetId="1" r:id="rId3"/>
    <sheet name="Reconciliation (EE&amp;C-3)" sheetId="3" r:id="rId4"/>
    <sheet name="Projected Rev. Req (EE&amp;C-4)" sheetId="8" r:id="rId5"/>
    <sheet name="Rate Calculation (EE&amp;C-5)" sheetId="4" r:id="rId6"/>
    <sheet name="Journal Entries (EE&amp;C-6)" sheetId="5" r:id="rId7"/>
    <sheet name="Rate Impacts (EE&amp;C-7)" sheetId="6" r:id="rId8"/>
    <sheet name="kwh forecast" sheetId="7" r:id="rId9"/>
  </sheets>
  <definedNames>
    <definedName name="_xlnm.Print_Area" localSheetId="5">'Rate Calculation (EE&amp;C-5)'!$A$1:$C$21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9" i="4" l="1"/>
  <c r="T13" i="5"/>
  <c r="S13" i="5"/>
  <c r="R13" i="5"/>
  <c r="Q13" i="5"/>
  <c r="P13" i="5"/>
  <c r="O13" i="5"/>
  <c r="M13" i="5"/>
  <c r="L13" i="5"/>
  <c r="K13" i="5"/>
  <c r="J13" i="5"/>
  <c r="I13" i="5"/>
  <c r="N13" i="5"/>
  <c r="H13" i="5"/>
  <c r="R80" i="1"/>
  <c r="R81" i="1"/>
  <c r="R82" i="1"/>
  <c r="R83" i="1"/>
  <c r="R84" i="1"/>
  <c r="R85" i="1"/>
  <c r="R86" i="1"/>
  <c r="R87" i="1"/>
  <c r="R88" i="1"/>
  <c r="R89" i="1"/>
  <c r="R90" i="1"/>
  <c r="R79" i="1"/>
  <c r="L9" i="3" l="1"/>
  <c r="M14" i="3"/>
  <c r="E21" i="1"/>
  <c r="C21" i="2"/>
  <c r="D21" i="2"/>
  <c r="E21" i="2"/>
  <c r="B21" i="2"/>
  <c r="M9" i="5"/>
  <c r="L9" i="5"/>
  <c r="K9" i="5"/>
  <c r="J9" i="5"/>
  <c r="I9" i="5"/>
  <c r="H9" i="5"/>
  <c r="N9" i="5" l="1"/>
  <c r="C9" i="3" l="1"/>
  <c r="C10" i="3"/>
  <c r="C11" i="3"/>
  <c r="C12" i="3"/>
  <c r="C13" i="3"/>
  <c r="C14" i="3"/>
  <c r="C18" i="4"/>
  <c r="B10" i="3"/>
  <c r="B11" i="3"/>
  <c r="B12" i="3"/>
  <c r="B13" i="3"/>
  <c r="B14" i="3"/>
  <c r="B9" i="3"/>
  <c r="G17" i="8"/>
  <c r="G18" i="8"/>
  <c r="G19" i="8"/>
  <c r="G20" i="8"/>
  <c r="G21" i="8"/>
  <c r="G22" i="8"/>
  <c r="G23" i="8"/>
  <c r="G24" i="8"/>
  <c r="B27" i="3" l="1"/>
  <c r="D26" i="3"/>
  <c r="B39" i="3" s="1"/>
  <c r="D25" i="3"/>
  <c r="B38" i="3" s="1"/>
  <c r="D24" i="3"/>
  <c r="B37" i="3" s="1"/>
  <c r="D23" i="3"/>
  <c r="B36" i="3" s="1"/>
  <c r="D22" i="3"/>
  <c r="B35" i="3" s="1"/>
  <c r="D21" i="3"/>
  <c r="B34" i="3" s="1"/>
  <c r="D27" i="3" l="1"/>
  <c r="E11" i="3" l="1"/>
  <c r="E12" i="3"/>
  <c r="E13" i="3"/>
  <c r="E14" i="3"/>
  <c r="E10" i="3"/>
  <c r="E9" i="3"/>
  <c r="D36" i="1"/>
  <c r="Q31" i="1"/>
  <c r="Q32" i="1"/>
  <c r="Q33" i="1"/>
  <c r="Q34" i="1"/>
  <c r="Q35" i="1"/>
  <c r="Q30" i="1"/>
  <c r="G30" i="1"/>
  <c r="AL63" i="1"/>
  <c r="AL64" i="1"/>
  <c r="AL65" i="1"/>
  <c r="AL66" i="1"/>
  <c r="AL67" i="1"/>
  <c r="AL68" i="1"/>
  <c r="AL69" i="1"/>
  <c r="AL70" i="1"/>
  <c r="AL71" i="1"/>
  <c r="AL72" i="1"/>
  <c r="AL73" i="1"/>
  <c r="AL74" i="1"/>
  <c r="AL75" i="1"/>
  <c r="AL76" i="1"/>
  <c r="AL77" i="1"/>
  <c r="AL78" i="1"/>
  <c r="AL79" i="1"/>
  <c r="AL80" i="1"/>
  <c r="AL81" i="1"/>
  <c r="AL82" i="1"/>
  <c r="G31" i="1" s="1"/>
  <c r="AL83" i="1"/>
  <c r="G32" i="1" s="1"/>
  <c r="AL84" i="1"/>
  <c r="G33" i="1" s="1"/>
  <c r="AL85" i="1"/>
  <c r="G34" i="1" s="1"/>
  <c r="AL86" i="1"/>
  <c r="Y100" i="1" s="1"/>
  <c r="AL87" i="1"/>
  <c r="G13" i="8" s="1"/>
  <c r="AL88" i="1"/>
  <c r="G14" i="8" s="1"/>
  <c r="AL89" i="1"/>
  <c r="G15" i="8" s="1"/>
  <c r="AL90" i="1"/>
  <c r="G16" i="8" s="1"/>
  <c r="AL91" i="1"/>
  <c r="AL92" i="1"/>
  <c r="AL93" i="1"/>
  <c r="AL94" i="1"/>
  <c r="AL95" i="1"/>
  <c r="AL96" i="1"/>
  <c r="AL97" i="1"/>
  <c r="AL98" i="1"/>
  <c r="AL62" i="1"/>
  <c r="AL61" i="1"/>
  <c r="Y87" i="1"/>
  <c r="Y88" i="1"/>
  <c r="Y89" i="1"/>
  <c r="Y90" i="1"/>
  <c r="Y91" i="1"/>
  <c r="Y92" i="1"/>
  <c r="Y93" i="1"/>
  <c r="Y94" i="1"/>
  <c r="Y95" i="1"/>
  <c r="Y96" i="1"/>
  <c r="Y97" i="1"/>
  <c r="X87" i="1"/>
  <c r="X88" i="1"/>
  <c r="X89" i="1"/>
  <c r="X90" i="1"/>
  <c r="X91" i="1"/>
  <c r="X92" i="1"/>
  <c r="X93" i="1"/>
  <c r="X94" i="1"/>
  <c r="X95" i="1"/>
  <c r="X96" i="1"/>
  <c r="W87" i="1"/>
  <c r="W88" i="1"/>
  <c r="W89" i="1"/>
  <c r="W90" i="1"/>
  <c r="W91" i="1"/>
  <c r="W92" i="1"/>
  <c r="W93" i="1"/>
  <c r="W94" i="1"/>
  <c r="W95" i="1"/>
  <c r="V87" i="1"/>
  <c r="V88" i="1"/>
  <c r="V89" i="1"/>
  <c r="V90" i="1"/>
  <c r="V91" i="1"/>
  <c r="V92" i="1"/>
  <c r="V93" i="1"/>
  <c r="V94" i="1"/>
  <c r="U87" i="1"/>
  <c r="U88" i="1"/>
  <c r="U89" i="1"/>
  <c r="U90" i="1"/>
  <c r="U91" i="1"/>
  <c r="U92" i="1"/>
  <c r="U93" i="1"/>
  <c r="T87" i="1"/>
  <c r="T88" i="1"/>
  <c r="T89" i="1"/>
  <c r="T90" i="1"/>
  <c r="T91" i="1"/>
  <c r="T92" i="1"/>
  <c r="S87" i="1"/>
  <c r="S88" i="1"/>
  <c r="S89" i="1"/>
  <c r="S90" i="1"/>
  <c r="S91" i="1"/>
  <c r="Q87" i="1"/>
  <c r="Q88" i="1"/>
  <c r="Q89" i="1"/>
  <c r="P87" i="1"/>
  <c r="P88" i="1"/>
  <c r="O87" i="1"/>
  <c r="S61" i="1"/>
  <c r="R61" i="1"/>
  <c r="Q61" i="1"/>
  <c r="P61" i="1"/>
  <c r="O61" i="1"/>
  <c r="N61" i="1"/>
  <c r="M74" i="1"/>
  <c r="G35" i="1" l="1"/>
  <c r="B31" i="1"/>
  <c r="B32" i="1"/>
  <c r="B33" i="1"/>
  <c r="B34" i="1"/>
  <c r="B35" i="1"/>
  <c r="B30" i="1"/>
  <c r="E31" i="1"/>
  <c r="E32" i="1"/>
  <c r="E33" i="1"/>
  <c r="E34" i="1"/>
  <c r="E35" i="1"/>
  <c r="E30" i="1"/>
  <c r="I13" i="1" l="1"/>
  <c r="C14" i="1" s="1"/>
  <c r="Q21" i="1"/>
  <c r="F14" i="1"/>
  <c r="J14" i="1" s="1"/>
  <c r="H14" i="1"/>
  <c r="I14" i="1" l="1"/>
  <c r="F16" i="2" l="1"/>
  <c r="F15" i="2"/>
  <c r="T30" i="5" l="1"/>
  <c r="T31" i="5" s="1"/>
  <c r="T22" i="5"/>
  <c r="T23" i="5" s="1"/>
  <c r="S22" i="5"/>
  <c r="S23" i="5" s="1"/>
  <c r="R22" i="5"/>
  <c r="R23" i="5" s="1"/>
  <c r="T18" i="5"/>
  <c r="T19" i="5" s="1"/>
  <c r="S18" i="5"/>
  <c r="S19" i="5" s="1"/>
  <c r="R18" i="5"/>
  <c r="R19" i="5" s="1"/>
  <c r="H35" i="1" l="1"/>
  <c r="L35" i="1" s="1"/>
  <c r="F14" i="2"/>
  <c r="F12" i="2" l="1"/>
  <c r="F13" i="2"/>
  <c r="F22" i="9" l="1"/>
  <c r="F21" i="9"/>
  <c r="B23" i="9"/>
  <c r="C15" i="9"/>
  <c r="B15" i="9"/>
  <c r="F14" i="9"/>
  <c r="F13" i="9"/>
  <c r="F11" i="9"/>
  <c r="F10" i="9"/>
  <c r="F18" i="9" l="1"/>
  <c r="F19" i="9"/>
  <c r="Q22" i="5" l="1"/>
  <c r="Q23" i="5" s="1"/>
  <c r="P22" i="5"/>
  <c r="P23" i="5" s="1"/>
  <c r="O22" i="5"/>
  <c r="U22" i="5" s="1"/>
  <c r="Q18" i="5"/>
  <c r="Q19" i="5" s="1"/>
  <c r="P18" i="5"/>
  <c r="P19" i="5" s="1"/>
  <c r="O18" i="5"/>
  <c r="U18" i="5" l="1"/>
  <c r="O19" i="5"/>
  <c r="U19" i="5" s="1"/>
  <c r="O23" i="5"/>
  <c r="U23" i="5" s="1"/>
  <c r="F10" i="2"/>
  <c r="F11" i="2"/>
  <c r="F9" i="2"/>
  <c r="B40" i="3" l="1"/>
  <c r="M22" i="5"/>
  <c r="M23" i="5" s="1"/>
  <c r="L22" i="5"/>
  <c r="L23" i="5" s="1"/>
  <c r="K22" i="5"/>
  <c r="K23" i="5" s="1"/>
  <c r="J22" i="5"/>
  <c r="J23" i="5" s="1"/>
  <c r="I22" i="5"/>
  <c r="I23" i="5" s="1"/>
  <c r="H22" i="5"/>
  <c r="H23" i="5" s="1"/>
  <c r="M18" i="5"/>
  <c r="M19" i="5" s="1"/>
  <c r="L18" i="5"/>
  <c r="L19" i="5" s="1"/>
  <c r="K18" i="5"/>
  <c r="K19" i="5" s="1"/>
  <c r="J18" i="5"/>
  <c r="J19" i="5" s="1"/>
  <c r="I18" i="5"/>
  <c r="I19" i="5" s="1"/>
  <c r="H18" i="5"/>
  <c r="H19" i="5" s="1"/>
  <c r="H211" i="7" l="1"/>
  <c r="Q25" i="8" l="1"/>
  <c r="C13" i="4" s="1"/>
  <c r="H16" i="8"/>
  <c r="L16" i="8" s="1"/>
  <c r="H20" i="8"/>
  <c r="L20" i="8" s="1"/>
  <c r="H24" i="8"/>
  <c r="L24" i="8" s="1"/>
  <c r="B25" i="8"/>
  <c r="H14" i="8"/>
  <c r="L14" i="8" s="1"/>
  <c r="H15" i="8"/>
  <c r="L15" i="8" s="1"/>
  <c r="H17" i="8"/>
  <c r="L17" i="8" s="1"/>
  <c r="H18" i="8"/>
  <c r="L18" i="8" s="1"/>
  <c r="H19" i="8"/>
  <c r="L19" i="8" s="1"/>
  <c r="H21" i="8"/>
  <c r="L21" i="8" s="1"/>
  <c r="H22" i="8"/>
  <c r="L22" i="8" s="1"/>
  <c r="H23" i="8"/>
  <c r="L23" i="8" s="1"/>
  <c r="H13" i="8"/>
  <c r="G69" i="1"/>
  <c r="G70" i="1"/>
  <c r="G71" i="1"/>
  <c r="G72" i="1"/>
  <c r="G73" i="1"/>
  <c r="G74" i="1"/>
  <c r="G75" i="1"/>
  <c r="G76" i="1"/>
  <c r="G77" i="1"/>
  <c r="G78" i="1"/>
  <c r="G79" i="1"/>
  <c r="G68" i="1"/>
  <c r="F68" i="1"/>
  <c r="F69" i="1"/>
  <c r="F70" i="1"/>
  <c r="F71" i="1"/>
  <c r="F72" i="1"/>
  <c r="F73" i="1"/>
  <c r="F74" i="1"/>
  <c r="F75" i="1"/>
  <c r="F76" i="1"/>
  <c r="F77" i="1"/>
  <c r="F78" i="1"/>
  <c r="F67" i="1"/>
  <c r="E77" i="1"/>
  <c r="E67" i="1"/>
  <c r="E68" i="1"/>
  <c r="E69" i="1"/>
  <c r="E70" i="1"/>
  <c r="E71" i="1"/>
  <c r="E72" i="1"/>
  <c r="E73" i="1"/>
  <c r="E74" i="1"/>
  <c r="E75" i="1"/>
  <c r="E76" i="1"/>
  <c r="E66" i="1"/>
  <c r="D66" i="1"/>
  <c r="D67" i="1"/>
  <c r="D68" i="1"/>
  <c r="D69" i="1"/>
  <c r="D70" i="1"/>
  <c r="D71" i="1"/>
  <c r="D72" i="1"/>
  <c r="D73" i="1"/>
  <c r="D74" i="1"/>
  <c r="D75" i="1"/>
  <c r="D76" i="1"/>
  <c r="D65" i="1"/>
  <c r="C65" i="1"/>
  <c r="C66" i="1"/>
  <c r="C67" i="1"/>
  <c r="C68" i="1"/>
  <c r="C69" i="1"/>
  <c r="C70" i="1"/>
  <c r="C71" i="1"/>
  <c r="C72" i="1"/>
  <c r="C73" i="1"/>
  <c r="C74" i="1"/>
  <c r="C75" i="1"/>
  <c r="C64" i="1"/>
  <c r="B64" i="1"/>
  <c r="B65" i="1"/>
  <c r="B66" i="1"/>
  <c r="B67" i="1"/>
  <c r="B68" i="1"/>
  <c r="B69" i="1"/>
  <c r="B70" i="1"/>
  <c r="B71" i="1"/>
  <c r="B72" i="1"/>
  <c r="B73" i="1"/>
  <c r="B74" i="1"/>
  <c r="B63" i="1"/>
  <c r="O82" i="1"/>
  <c r="P85" i="1"/>
  <c r="T61" i="1"/>
  <c r="U61" i="1"/>
  <c r="U85" i="1" s="1"/>
  <c r="V61" i="1"/>
  <c r="V86" i="1" s="1"/>
  <c r="W61" i="1"/>
  <c r="X61" i="1"/>
  <c r="Y61" i="1"/>
  <c r="Y86" i="1" s="1"/>
  <c r="Y99" i="1" s="1"/>
  <c r="N78" i="1"/>
  <c r="I79" i="1"/>
  <c r="J72" i="1"/>
  <c r="K75" i="1"/>
  <c r="L76" i="1"/>
  <c r="H30" i="1"/>
  <c r="Q79" i="1" l="1"/>
  <c r="Q78" i="1"/>
  <c r="L13" i="8"/>
  <c r="H25" i="8"/>
  <c r="E25" i="8"/>
  <c r="D100" i="1"/>
  <c r="I71" i="1"/>
  <c r="K79" i="1"/>
  <c r="D99" i="1"/>
  <c r="N86" i="1"/>
  <c r="L30" i="1"/>
  <c r="X86" i="1"/>
  <c r="X85" i="1"/>
  <c r="H74" i="1"/>
  <c r="M78" i="1"/>
  <c r="M82" i="1"/>
  <c r="M75" i="1"/>
  <c r="M79" i="1"/>
  <c r="M83" i="1"/>
  <c r="M76" i="1"/>
  <c r="M80" i="1"/>
  <c r="M84" i="1"/>
  <c r="I74" i="1"/>
  <c r="I78" i="1"/>
  <c r="I70" i="1"/>
  <c r="H31" i="1"/>
  <c r="I72" i="1"/>
  <c r="I76" i="1"/>
  <c r="I80" i="1"/>
  <c r="W84" i="1"/>
  <c r="W85" i="1"/>
  <c r="S81" i="1"/>
  <c r="S85" i="1"/>
  <c r="S82" i="1"/>
  <c r="S86" i="1"/>
  <c r="S83" i="1"/>
  <c r="S80" i="1"/>
  <c r="O79" i="1"/>
  <c r="O83" i="1"/>
  <c r="O76" i="1"/>
  <c r="O80" i="1"/>
  <c r="O84" i="1"/>
  <c r="O77" i="1"/>
  <c r="O81" i="1"/>
  <c r="O85" i="1"/>
  <c r="G100" i="1"/>
  <c r="C100" i="1"/>
  <c r="H78" i="1"/>
  <c r="H72" i="1"/>
  <c r="I77" i="1"/>
  <c r="J82" i="1"/>
  <c r="J74" i="1"/>
  <c r="M85" i="1"/>
  <c r="N82" i="1"/>
  <c r="O78" i="1"/>
  <c r="Q83" i="1"/>
  <c r="S84" i="1"/>
  <c r="H73" i="1"/>
  <c r="H71" i="1"/>
  <c r="H75" i="1"/>
  <c r="T84" i="1"/>
  <c r="T85" i="1"/>
  <c r="T82" i="1"/>
  <c r="T86" i="1"/>
  <c r="L77" i="1"/>
  <c r="L81" i="1"/>
  <c r="L73" i="1"/>
  <c r="L74" i="1"/>
  <c r="L78" i="1"/>
  <c r="L82" i="1"/>
  <c r="L75" i="1"/>
  <c r="L79" i="1"/>
  <c r="L83" i="1"/>
  <c r="V83" i="1"/>
  <c r="V84" i="1"/>
  <c r="V85" i="1"/>
  <c r="B99" i="1"/>
  <c r="F100" i="1"/>
  <c r="C99" i="1"/>
  <c r="E99" i="1"/>
  <c r="F99" i="1"/>
  <c r="G99" i="1"/>
  <c r="H69" i="1"/>
  <c r="H77" i="1"/>
  <c r="H70" i="1"/>
  <c r="I75" i="1"/>
  <c r="J80" i="1"/>
  <c r="L84" i="1"/>
  <c r="M81" i="1"/>
  <c r="T81" i="1"/>
  <c r="W86" i="1"/>
  <c r="J75" i="1"/>
  <c r="J79" i="1"/>
  <c r="J71" i="1"/>
  <c r="J73" i="1"/>
  <c r="J77" i="1"/>
  <c r="J81" i="1"/>
  <c r="P78" i="1"/>
  <c r="P82" i="1"/>
  <c r="P86" i="1"/>
  <c r="P79" i="1"/>
  <c r="P83" i="1"/>
  <c r="P77" i="1"/>
  <c r="P80" i="1"/>
  <c r="P84" i="1"/>
  <c r="H79" i="1"/>
  <c r="J76" i="1"/>
  <c r="N79" i="1"/>
  <c r="N83" i="1"/>
  <c r="N75" i="1"/>
  <c r="N76" i="1"/>
  <c r="N80" i="1"/>
  <c r="N84" i="1"/>
  <c r="N77" i="1"/>
  <c r="N81" i="1"/>
  <c r="N85" i="1"/>
  <c r="K76" i="1"/>
  <c r="K80" i="1"/>
  <c r="K72" i="1"/>
  <c r="K73" i="1"/>
  <c r="K77" i="1"/>
  <c r="K81" i="1"/>
  <c r="K74" i="1"/>
  <c r="K78" i="1"/>
  <c r="K82" i="1"/>
  <c r="U86" i="1"/>
  <c r="U83" i="1"/>
  <c r="U82" i="1"/>
  <c r="U84" i="1"/>
  <c r="Q80" i="1"/>
  <c r="Q84" i="1"/>
  <c r="Q81" i="1"/>
  <c r="Q85" i="1"/>
  <c r="Q82" i="1"/>
  <c r="Q86" i="1"/>
  <c r="E100" i="1"/>
  <c r="H80" i="1"/>
  <c r="H76" i="1"/>
  <c r="I81" i="1"/>
  <c r="I73" i="1"/>
  <c r="J78" i="1"/>
  <c r="K83" i="1"/>
  <c r="L80" i="1"/>
  <c r="M77" i="1"/>
  <c r="O86" i="1"/>
  <c r="P81" i="1"/>
  <c r="T83" i="1"/>
  <c r="Q100" i="1" l="1"/>
  <c r="R99" i="1"/>
  <c r="L25" i="8"/>
  <c r="Q30" i="5"/>
  <c r="Q31" i="5" s="1"/>
  <c r="P30" i="5"/>
  <c r="P31" i="5" s="1"/>
  <c r="X99" i="1"/>
  <c r="S30" i="5"/>
  <c r="S31" i="5" s="1"/>
  <c r="M100" i="1"/>
  <c r="M99" i="1"/>
  <c r="Q99" i="1"/>
  <c r="U99" i="1"/>
  <c r="H33" i="1"/>
  <c r="L33" i="1" s="1"/>
  <c r="J99" i="1"/>
  <c r="H99" i="1"/>
  <c r="W99" i="1"/>
  <c r="L31" i="1"/>
  <c r="K99" i="1"/>
  <c r="T99" i="1"/>
  <c r="L99" i="1"/>
  <c r="S99" i="1"/>
  <c r="I99" i="1"/>
  <c r="H32" i="1"/>
  <c r="H34" i="1"/>
  <c r="L34" i="1" s="1"/>
  <c r="N99" i="1"/>
  <c r="P99" i="1"/>
  <c r="B100" i="1"/>
  <c r="V99" i="1"/>
  <c r="O99" i="1"/>
  <c r="O30" i="5" l="1"/>
  <c r="O31" i="5" s="1"/>
  <c r="I100" i="1"/>
  <c r="K100" i="1"/>
  <c r="R30" i="5"/>
  <c r="R31" i="5" s="1"/>
  <c r="J100" i="1"/>
  <c r="T100" i="1"/>
  <c r="W100" i="1"/>
  <c r="P100" i="1"/>
  <c r="O100" i="1"/>
  <c r="N100" i="1"/>
  <c r="U100" i="1"/>
  <c r="S100" i="1"/>
  <c r="L100" i="1"/>
  <c r="R100" i="1"/>
  <c r="V100" i="1"/>
  <c r="X100" i="1"/>
  <c r="AL99" i="1"/>
  <c r="H100" i="1"/>
  <c r="L32" i="1"/>
  <c r="U31" i="5" l="1"/>
  <c r="AA99" i="1"/>
  <c r="U30" i="5"/>
  <c r="AL100" i="1"/>
  <c r="G25" i="8"/>
  <c r="N23" i="5" l="1"/>
  <c r="N22" i="5"/>
  <c r="N19" i="5"/>
  <c r="N18" i="5"/>
  <c r="A21" i="4" l="1"/>
  <c r="A19" i="4"/>
  <c r="A20" i="4" s="1"/>
  <c r="A18" i="4"/>
  <c r="A17" i="4"/>
  <c r="A16" i="4"/>
  <c r="A13" i="4"/>
  <c r="A14" i="4" s="1"/>
  <c r="A12" i="4"/>
  <c r="F17" i="2" l="1"/>
  <c r="F18" i="2"/>
  <c r="F19" i="2"/>
  <c r="F20" i="2"/>
  <c r="B15" i="3" l="1"/>
  <c r="F21" i="2" l="1"/>
  <c r="Q36" i="1"/>
  <c r="H15" i="1" l="1"/>
  <c r="H16" i="1"/>
  <c r="H17" i="1"/>
  <c r="H18" i="1"/>
  <c r="H19" i="1"/>
  <c r="F15" i="1"/>
  <c r="F16" i="1" s="1"/>
  <c r="F17" i="1" s="1"/>
  <c r="F18" i="1" s="1"/>
  <c r="F19" i="1" s="1"/>
  <c r="F30" i="1" s="1"/>
  <c r="E36" i="1"/>
  <c r="H26" i="5"/>
  <c r="B21" i="1"/>
  <c r="B36" i="1" s="1"/>
  <c r="H27" i="5" l="1"/>
  <c r="M30" i="5"/>
  <c r="M31" i="5" s="1"/>
  <c r="F31" i="1"/>
  <c r="F32" i="1" s="1"/>
  <c r="F33" i="1" s="1"/>
  <c r="F34" i="1" s="1"/>
  <c r="I15" i="1"/>
  <c r="L17" i="1"/>
  <c r="L16" i="1"/>
  <c r="C15" i="1"/>
  <c r="C16" i="1" s="1"/>
  <c r="C17" i="1" s="1"/>
  <c r="C18" i="1" s="1"/>
  <c r="L26" i="5" s="1"/>
  <c r="L27" i="5" s="1"/>
  <c r="L19" i="1"/>
  <c r="L15" i="1"/>
  <c r="L18" i="1"/>
  <c r="H21" i="1"/>
  <c r="H36" i="1" s="1"/>
  <c r="L14" i="1"/>
  <c r="L30" i="5"/>
  <c r="L31" i="5" s="1"/>
  <c r="K30" i="5"/>
  <c r="K31" i="5" s="1"/>
  <c r="I30" i="5"/>
  <c r="I31" i="5" s="1"/>
  <c r="J30" i="5"/>
  <c r="J31" i="5" s="1"/>
  <c r="F35" i="1" l="1"/>
  <c r="K14" i="1"/>
  <c r="H30" i="5"/>
  <c r="K26" i="5"/>
  <c r="K27" i="5" s="1"/>
  <c r="I16" i="1"/>
  <c r="C19" i="1"/>
  <c r="C30" i="1" s="1"/>
  <c r="G21" i="1"/>
  <c r="G36" i="1" s="1"/>
  <c r="J18" i="1"/>
  <c r="M18" i="1" s="1"/>
  <c r="L21" i="1"/>
  <c r="L36" i="1" s="1"/>
  <c r="M14" i="1" l="1"/>
  <c r="N14" i="1" s="1"/>
  <c r="O14" i="1" s="1"/>
  <c r="P14" i="1" s="1"/>
  <c r="R14" i="1" s="1"/>
  <c r="F12" i="8"/>
  <c r="F13" i="8" s="1"/>
  <c r="F14" i="8" s="1"/>
  <c r="F15" i="8" s="1"/>
  <c r="F16" i="8" s="1"/>
  <c r="F17" i="8" s="1"/>
  <c r="F18" i="8" s="1"/>
  <c r="F19" i="8" s="1"/>
  <c r="F20" i="8" s="1"/>
  <c r="F21" i="8" s="1"/>
  <c r="F22" i="8" s="1"/>
  <c r="F23" i="8" s="1"/>
  <c r="F24" i="8" s="1"/>
  <c r="H31" i="5"/>
  <c r="N31" i="5" s="1"/>
  <c r="N30" i="5"/>
  <c r="J17" i="1"/>
  <c r="M17" i="1" s="1"/>
  <c r="J16" i="1"/>
  <c r="M16" i="1" s="1"/>
  <c r="J26" i="5"/>
  <c r="J27" i="5" s="1"/>
  <c r="J15" i="1"/>
  <c r="K15" i="1" s="1"/>
  <c r="I26" i="5"/>
  <c r="I17" i="1"/>
  <c r="K16" i="1" l="1"/>
  <c r="I27" i="5"/>
  <c r="M15" i="1"/>
  <c r="N15" i="1" s="1"/>
  <c r="O15" i="1" s="1"/>
  <c r="P15" i="1" s="1"/>
  <c r="J19" i="1"/>
  <c r="M19" i="1" s="1"/>
  <c r="M26" i="5"/>
  <c r="M27" i="5" s="1"/>
  <c r="D21" i="1"/>
  <c r="C31" i="1"/>
  <c r="D31" i="1" s="1"/>
  <c r="D30" i="1"/>
  <c r="J30" i="1" s="1"/>
  <c r="I18" i="1"/>
  <c r="K17" i="1"/>
  <c r="I10" i="5" l="1"/>
  <c r="R15" i="1"/>
  <c r="F9" i="3"/>
  <c r="G9" i="3" s="1"/>
  <c r="I9" i="3" s="1"/>
  <c r="J9" i="3" s="1"/>
  <c r="H10" i="5"/>
  <c r="M21" i="1"/>
  <c r="N16" i="1"/>
  <c r="N17" i="1" s="1"/>
  <c r="N18" i="1" s="1"/>
  <c r="N19" i="1" s="1"/>
  <c r="J21" i="1"/>
  <c r="N26" i="5"/>
  <c r="M30" i="1"/>
  <c r="N30" i="1" s="1"/>
  <c r="O26" i="5"/>
  <c r="N27" i="5"/>
  <c r="C32" i="1"/>
  <c r="D32" i="1" s="1"/>
  <c r="P26" i="5"/>
  <c r="P27" i="5" s="1"/>
  <c r="I19" i="1"/>
  <c r="I30" i="1" s="1"/>
  <c r="K18" i="1"/>
  <c r="H15" i="5" l="1"/>
  <c r="M9" i="3"/>
  <c r="D10" i="3"/>
  <c r="F10" i="3" s="1"/>
  <c r="G10" i="3" s="1"/>
  <c r="I10" i="3" s="1"/>
  <c r="J10" i="3" s="1"/>
  <c r="L10" i="3" s="1"/>
  <c r="I15" i="5" s="1"/>
  <c r="O16" i="1"/>
  <c r="P16" i="1" s="1"/>
  <c r="O27" i="5"/>
  <c r="O18" i="1"/>
  <c r="P18" i="1" s="1"/>
  <c r="I31" i="1"/>
  <c r="J31" i="1"/>
  <c r="C33" i="1"/>
  <c r="D33" i="1" s="1"/>
  <c r="O17" i="1"/>
  <c r="P17" i="1" s="1"/>
  <c r="K19" i="1"/>
  <c r="M10" i="3" l="1"/>
  <c r="D11" i="3"/>
  <c r="J10" i="5"/>
  <c r="R16" i="1"/>
  <c r="K10" i="5" s="1"/>
  <c r="R18" i="1"/>
  <c r="R17" i="1"/>
  <c r="L10" i="5" s="1"/>
  <c r="J32" i="1"/>
  <c r="M32" i="1" s="1"/>
  <c r="Q26" i="5"/>
  <c r="M31" i="1"/>
  <c r="O19" i="1"/>
  <c r="P19" i="1" s="1"/>
  <c r="K30" i="1"/>
  <c r="C34" i="1"/>
  <c r="R26" i="5"/>
  <c r="R27" i="5" s="1"/>
  <c r="I32" i="1"/>
  <c r="F11" i="3" l="1"/>
  <c r="D12" i="3" s="1"/>
  <c r="F12" i="3" s="1"/>
  <c r="C35" i="1"/>
  <c r="D35" i="1" s="1"/>
  <c r="D34" i="1"/>
  <c r="P21" i="1"/>
  <c r="R19" i="1"/>
  <c r="R21" i="1" s="1"/>
  <c r="Q27" i="5"/>
  <c r="K31" i="1"/>
  <c r="O30" i="1"/>
  <c r="P30" i="1" s="1"/>
  <c r="R30" i="1" s="1"/>
  <c r="C34" i="3" s="1"/>
  <c r="E34" i="3" s="1"/>
  <c r="O9" i="5" s="1"/>
  <c r="I33" i="1"/>
  <c r="J33" i="1"/>
  <c r="G12" i="3"/>
  <c r="I12" i="3" s="1"/>
  <c r="J12" i="3" s="1"/>
  <c r="L12" i="3" s="1"/>
  <c r="K15" i="5" s="1"/>
  <c r="D13" i="3"/>
  <c r="F13" i="3" s="1"/>
  <c r="N31" i="1"/>
  <c r="N32" i="1" s="1"/>
  <c r="G11" i="3" l="1"/>
  <c r="I11" i="3" s="1"/>
  <c r="J11" i="3" s="1"/>
  <c r="L11" i="3" s="1"/>
  <c r="J15" i="5" s="1"/>
  <c r="T26" i="5"/>
  <c r="T27" i="5" s="1"/>
  <c r="J35" i="1"/>
  <c r="M35" i="1" s="1"/>
  <c r="J34" i="1"/>
  <c r="M34" i="1" s="1"/>
  <c r="S26" i="5"/>
  <c r="C12" i="8"/>
  <c r="M33" i="1"/>
  <c r="D14" i="3"/>
  <c r="G13" i="3"/>
  <c r="I13" i="3" s="1"/>
  <c r="J13" i="3" s="1"/>
  <c r="L13" i="3" s="1"/>
  <c r="K32" i="1"/>
  <c r="O31" i="1"/>
  <c r="P31" i="1" s="1"/>
  <c r="R31" i="1" s="1"/>
  <c r="C35" i="3" s="1"/>
  <c r="E35" i="3" s="1"/>
  <c r="P9" i="5" s="1"/>
  <c r="I34" i="1"/>
  <c r="I35" i="1" s="1"/>
  <c r="C15" i="3"/>
  <c r="M13" i="3" l="1"/>
  <c r="M12" i="3"/>
  <c r="M11" i="3"/>
  <c r="U26" i="5"/>
  <c r="M36" i="1"/>
  <c r="J36" i="1"/>
  <c r="S27" i="5"/>
  <c r="U27" i="5" s="1"/>
  <c r="O10" i="5"/>
  <c r="M10" i="5"/>
  <c r="N10" i="5" s="1"/>
  <c r="L15" i="5"/>
  <c r="N33" i="1"/>
  <c r="N34" i="1" s="1"/>
  <c r="I12" i="8"/>
  <c r="I13" i="8" s="1"/>
  <c r="I14" i="8" s="1"/>
  <c r="C13" i="8"/>
  <c r="K33" i="1"/>
  <c r="O32" i="1"/>
  <c r="P32" i="1" s="1"/>
  <c r="F14" i="3"/>
  <c r="D34" i="3" s="1"/>
  <c r="F34" i="3" s="1"/>
  <c r="N35" i="1" l="1"/>
  <c r="C14" i="8"/>
  <c r="D13" i="8"/>
  <c r="I15" i="8"/>
  <c r="G14" i="3"/>
  <c r="I14" i="3" s="1"/>
  <c r="J14" i="3" s="1"/>
  <c r="L14" i="3" s="1"/>
  <c r="G34" i="3"/>
  <c r="I34" i="3" s="1"/>
  <c r="J34" i="3" s="1"/>
  <c r="L34" i="3" s="1"/>
  <c r="D35" i="3"/>
  <c r="R32" i="1"/>
  <c r="C36" i="3" s="1"/>
  <c r="E36" i="3" s="1"/>
  <c r="Q9" i="5" s="1"/>
  <c r="K34" i="1"/>
  <c r="K35" i="1" s="1"/>
  <c r="O33" i="1"/>
  <c r="P33" i="1" s="1"/>
  <c r="R33" i="1" s="1"/>
  <c r="C37" i="3" l="1"/>
  <c r="E37" i="3" s="1"/>
  <c r="R9" i="5" s="1"/>
  <c r="R10" i="5" s="1"/>
  <c r="M34" i="3"/>
  <c r="F35" i="3"/>
  <c r="N12" i="8"/>
  <c r="P10" i="5"/>
  <c r="O35" i="1"/>
  <c r="P35" i="1" s="1"/>
  <c r="R35" i="1" s="1"/>
  <c r="C39" i="3" s="1"/>
  <c r="E39" i="3" s="1"/>
  <c r="T9" i="5" s="1"/>
  <c r="I16" i="8"/>
  <c r="J13" i="8"/>
  <c r="D14" i="8"/>
  <c r="J14" i="8" s="1"/>
  <c r="C15" i="8"/>
  <c r="O34" i="1"/>
  <c r="P34" i="1" s="1"/>
  <c r="R34" i="1" s="1"/>
  <c r="C38" i="3" l="1"/>
  <c r="E38" i="3" s="1"/>
  <c r="S9" i="5" s="1"/>
  <c r="S10" i="5" s="1"/>
  <c r="D36" i="3"/>
  <c r="G35" i="3"/>
  <c r="I35" i="3" s="1"/>
  <c r="J35" i="3" s="1"/>
  <c r="L35" i="3" s="1"/>
  <c r="M35" i="3" s="1"/>
  <c r="O15" i="5"/>
  <c r="M15" i="5"/>
  <c r="N15" i="5" s="1"/>
  <c r="T10" i="5"/>
  <c r="K12" i="8"/>
  <c r="K13" i="8" s="1"/>
  <c r="K14" i="8" s="1"/>
  <c r="M14" i="8"/>
  <c r="M13" i="8"/>
  <c r="N13" i="8" s="1"/>
  <c r="C16" i="8"/>
  <c r="D15" i="8"/>
  <c r="J15" i="8" s="1"/>
  <c r="I17" i="8"/>
  <c r="P15" i="5" l="1"/>
  <c r="P36" i="1"/>
  <c r="F36" i="3"/>
  <c r="N14" i="8"/>
  <c r="O14" i="8" s="1"/>
  <c r="P14" i="8" s="1"/>
  <c r="R14" i="8" s="1"/>
  <c r="M15" i="8"/>
  <c r="K15" i="8"/>
  <c r="D16" i="8"/>
  <c r="J16" i="8" s="1"/>
  <c r="C17" i="8"/>
  <c r="I18" i="8"/>
  <c r="O13" i="8"/>
  <c r="P13" i="8" s="1"/>
  <c r="D37" i="3" l="1"/>
  <c r="F37" i="3" s="1"/>
  <c r="R36" i="1"/>
  <c r="G36" i="3"/>
  <c r="I36" i="3" s="1"/>
  <c r="J36" i="3" s="1"/>
  <c r="L36" i="3" s="1"/>
  <c r="Q10" i="5"/>
  <c r="N15" i="8"/>
  <c r="O15" i="8" s="1"/>
  <c r="P15" i="8" s="1"/>
  <c r="R15" i="8" s="1"/>
  <c r="I19" i="8"/>
  <c r="D17" i="8"/>
  <c r="J17" i="8" s="1"/>
  <c r="C18" i="8"/>
  <c r="M16" i="8"/>
  <c r="K16" i="8"/>
  <c r="R13" i="8"/>
  <c r="D38" i="3"/>
  <c r="F38" i="3" s="1"/>
  <c r="G37" i="3"/>
  <c r="I37" i="3" s="1"/>
  <c r="J37" i="3" s="1"/>
  <c r="L37" i="3" s="1"/>
  <c r="R15" i="5" s="1"/>
  <c r="M36" i="3" l="1"/>
  <c r="M37" i="3"/>
  <c r="C40" i="3"/>
  <c r="Q15" i="5"/>
  <c r="N16" i="8"/>
  <c r="O16" i="8" s="1"/>
  <c r="P16" i="8" s="1"/>
  <c r="R16" i="8" s="1"/>
  <c r="D18" i="8"/>
  <c r="J18" i="8" s="1"/>
  <c r="C19" i="8"/>
  <c r="M17" i="8"/>
  <c r="K17" i="8"/>
  <c r="I20" i="8"/>
  <c r="D39" i="3"/>
  <c r="F39" i="3" s="1"/>
  <c r="G38" i="3"/>
  <c r="I38" i="3" s="1"/>
  <c r="J38" i="3" s="1"/>
  <c r="L38" i="3" s="1"/>
  <c r="M38" i="3" s="1"/>
  <c r="U10" i="5" l="1"/>
  <c r="U9" i="5"/>
  <c r="G39" i="3"/>
  <c r="I39" i="3" s="1"/>
  <c r="J39" i="3" s="1"/>
  <c r="L39" i="3" s="1"/>
  <c r="N17" i="8"/>
  <c r="O17" i="8" s="1"/>
  <c r="P17" i="8" s="1"/>
  <c r="R17" i="8" s="1"/>
  <c r="I21" i="8"/>
  <c r="C20" i="8"/>
  <c r="D19" i="8"/>
  <c r="J19" i="8" s="1"/>
  <c r="K18" i="8"/>
  <c r="M18" i="8"/>
  <c r="M39" i="3" l="1"/>
  <c r="C16" i="4" s="1"/>
  <c r="T15" i="5"/>
  <c r="S15" i="5"/>
  <c r="N18" i="8"/>
  <c r="O18" i="8" s="1"/>
  <c r="P18" i="8" s="1"/>
  <c r="R18" i="8" s="1"/>
  <c r="M19" i="8"/>
  <c r="K19" i="8"/>
  <c r="C21" i="8"/>
  <c r="D20" i="8"/>
  <c r="J20" i="8" s="1"/>
  <c r="I22" i="8"/>
  <c r="N19" i="8" l="1"/>
  <c r="O19" i="8" s="1"/>
  <c r="P19" i="8" s="1"/>
  <c r="M20" i="8"/>
  <c r="K20" i="8"/>
  <c r="D21" i="8"/>
  <c r="J21" i="8" s="1"/>
  <c r="C22" i="8"/>
  <c r="I23" i="8"/>
  <c r="I24" i="8" s="1"/>
  <c r="L40" i="3" l="1"/>
  <c r="N20" i="8"/>
  <c r="O20" i="8" s="1"/>
  <c r="P20" i="8" s="1"/>
  <c r="R20" i="8" s="1"/>
  <c r="R19" i="8"/>
  <c r="C23" i="8"/>
  <c r="D22" i="8"/>
  <c r="J22" i="8" s="1"/>
  <c r="M21" i="8"/>
  <c r="K21" i="8"/>
  <c r="N21" i="8" l="1"/>
  <c r="O21" i="8" s="1"/>
  <c r="P21" i="8" s="1"/>
  <c r="R21" i="8" s="1"/>
  <c r="U13" i="5"/>
  <c r="U15" i="5"/>
  <c r="M22" i="8"/>
  <c r="K22" i="8"/>
  <c r="D23" i="8"/>
  <c r="J23" i="8" s="1"/>
  <c r="C24" i="8"/>
  <c r="D24" i="8" s="1"/>
  <c r="N22" i="8" l="1"/>
  <c r="J24" i="8"/>
  <c r="J25" i="8" s="1"/>
  <c r="D25" i="8"/>
  <c r="M23" i="8"/>
  <c r="K23" i="8"/>
  <c r="O22" i="8"/>
  <c r="P22" i="8" s="1"/>
  <c r="R22" i="8" s="1"/>
  <c r="N23" i="8" l="1"/>
  <c r="M24" i="8"/>
  <c r="M25" i="8"/>
  <c r="C11" i="4"/>
  <c r="K24" i="8"/>
  <c r="N24" i="8" l="1"/>
  <c r="O24" i="8" s="1"/>
  <c r="P24" i="8" s="1"/>
  <c r="O23" i="8"/>
  <c r="P23" i="8" s="1"/>
  <c r="R23" i="8" s="1"/>
  <c r="R24" i="8" l="1"/>
  <c r="R25" i="8" s="1"/>
  <c r="P25" i="8"/>
  <c r="C12" i="4" s="1"/>
  <c r="C14" i="4" s="1"/>
  <c r="C17" i="4" s="1"/>
  <c r="C20" i="4" l="1"/>
  <c r="E12" i="9"/>
  <c r="C21" i="4"/>
  <c r="E20" i="9" s="1"/>
  <c r="E15" i="9" l="1"/>
  <c r="F12" i="9"/>
  <c r="F15" i="9" s="1"/>
  <c r="F20" i="9" l="1"/>
  <c r="F23" i="9" s="1"/>
  <c r="E23" i="9"/>
</calcChain>
</file>

<file path=xl/sharedStrings.xml><?xml version="1.0" encoding="utf-8"?>
<sst xmlns="http://schemas.openxmlformats.org/spreadsheetml/2006/main" count="1193" uniqueCount="231">
  <si>
    <t>JERSEY CENTRAL POWER &amp; LIGHT COMPANY</t>
  </si>
  <si>
    <t>Energy Efficiency &amp; Conservation ("EEC") Program</t>
  </si>
  <si>
    <t>RRC Rate Calculation and Revenue Calculation</t>
  </si>
  <si>
    <t>Current RRC Rate</t>
  </si>
  <si>
    <t>Proposed RRC Rate</t>
  </si>
  <si>
    <t>w/o SUT</t>
  </si>
  <si>
    <t>w/SUT</t>
  </si>
  <si>
    <t>SREC</t>
  </si>
  <si>
    <t>TREC</t>
  </si>
  <si>
    <t>EE&amp;C</t>
  </si>
  <si>
    <t>Community Solar</t>
  </si>
  <si>
    <t>SuSI</t>
  </si>
  <si>
    <t>Total RRC Rate</t>
  </si>
  <si>
    <t>Revenues Received</t>
  </si>
  <si>
    <t>Current RRC</t>
  </si>
  <si>
    <t>Proposed RRC</t>
  </si>
  <si>
    <t>Increase/ (Decrease)</t>
  </si>
  <si>
    <t>Actual EEC revenues by Rate Class</t>
  </si>
  <si>
    <t>Total</t>
  </si>
  <si>
    <t>Residential</t>
  </si>
  <si>
    <t>Commercial</t>
  </si>
  <si>
    <t>Industrial</t>
  </si>
  <si>
    <t>Public Street</t>
  </si>
  <si>
    <t xml:space="preserve">Actual </t>
  </si>
  <si>
    <t>Month</t>
  </si>
  <si>
    <t>Class</t>
  </si>
  <si>
    <t>Lights</t>
  </si>
  <si>
    <t>Revenues</t>
  </si>
  <si>
    <t>Actual Revenue Requirement</t>
  </si>
  <si>
    <t>JCP&amp;L EEC Investments</t>
  </si>
  <si>
    <t>Tax Adjustment for Deferred Income Tax</t>
  </si>
  <si>
    <t>Cumulative</t>
  </si>
  <si>
    <t>Customer</t>
  </si>
  <si>
    <t>Incentives/Outside</t>
  </si>
  <si>
    <t>Third</t>
  </si>
  <si>
    <t>Third Party</t>
  </si>
  <si>
    <t>Accumulated</t>
  </si>
  <si>
    <t xml:space="preserve">Accumulated </t>
  </si>
  <si>
    <t xml:space="preserve">Service </t>
  </si>
  <si>
    <t>Party</t>
  </si>
  <si>
    <t>Financing</t>
  </si>
  <si>
    <t>Tax</t>
  </si>
  <si>
    <t>Deferred</t>
  </si>
  <si>
    <t xml:space="preserve">Deferred </t>
  </si>
  <si>
    <t>Operating &amp;</t>
  </si>
  <si>
    <t xml:space="preserve">Amortization </t>
  </si>
  <si>
    <t>Amortization</t>
  </si>
  <si>
    <t>Income</t>
  </si>
  <si>
    <t>Net</t>
  </si>
  <si>
    <t>Return</t>
  </si>
  <si>
    <t>Maintenance</t>
  </si>
  <si>
    <t>Revenue</t>
  </si>
  <si>
    <t>Investment</t>
  </si>
  <si>
    <t>Expense</t>
  </si>
  <si>
    <t>Component</t>
  </si>
  <si>
    <t>Requirement</t>
  </si>
  <si>
    <t>*Updated to Actuals through August 2022</t>
  </si>
  <si>
    <t>Third Party Financing Amortization Schedule</t>
  </si>
  <si>
    <t>Actual Reconcilation of Revenues and Revenue Requirements</t>
  </si>
  <si>
    <t xml:space="preserve">Beginning </t>
  </si>
  <si>
    <t>Current</t>
  </si>
  <si>
    <t>Ending</t>
  </si>
  <si>
    <t>Actual</t>
  </si>
  <si>
    <t>Period</t>
  </si>
  <si>
    <t xml:space="preserve">Average </t>
  </si>
  <si>
    <t xml:space="preserve">Total </t>
  </si>
  <si>
    <t>Monthly</t>
  </si>
  <si>
    <t>Interest</t>
  </si>
  <si>
    <t>EEC</t>
  </si>
  <si>
    <t>Deferral</t>
  </si>
  <si>
    <t>Beginning</t>
  </si>
  <si>
    <t>Average Bal.</t>
  </si>
  <si>
    <t>Income/</t>
  </si>
  <si>
    <t>Balance</t>
  </si>
  <si>
    <t>Collection</t>
  </si>
  <si>
    <t>Ending Balance</t>
  </si>
  <si>
    <t>Rate</t>
  </si>
  <si>
    <t>Net of Tax</t>
  </si>
  <si>
    <t>Rate *</t>
  </si>
  <si>
    <t xml:space="preserve">Revenue </t>
  </si>
  <si>
    <t xml:space="preserve">Deferral </t>
  </si>
  <si>
    <t>* Two year Treasury plus 60 basis points.</t>
  </si>
  <si>
    <t>EEC Component of the RRC Rider Charge</t>
  </si>
  <si>
    <t xml:space="preserve">to </t>
  </si>
  <si>
    <t>Line #</t>
  </si>
  <si>
    <t>Amortization Expense</t>
  </si>
  <si>
    <t>Rate of Return</t>
  </si>
  <si>
    <t>O &amp; M Expenses</t>
  </si>
  <si>
    <t>Forecasted MWh</t>
  </si>
  <si>
    <t>Proposed rate w/o SUT ($/kWh)</t>
  </si>
  <si>
    <t>Proposed rate w SUT ($/kWh)</t>
  </si>
  <si>
    <t>Revenues received</t>
  </si>
  <si>
    <t>Journal Entries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</si>
  <si>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</si>
  <si>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</si>
  <si>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</si>
  <si>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</si>
  <si>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</si>
  <si>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</si>
  <si>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</si>
  <si>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</si>
  <si>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</si>
  <si>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</si>
  <si>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</si>
  <si>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</si>
  <si>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YTD</t>
  </si>
  <si>
    <t>March</t>
  </si>
  <si>
    <t>April</t>
  </si>
  <si>
    <t>June</t>
  </si>
  <si>
    <t>To Record the Monthly Deferral</t>
  </si>
  <si>
    <r>
      <rPr>
        <b/>
        <sz val="10"/>
        <color theme="1"/>
        <rFont val="Arial"/>
        <family val="2"/>
      </rPr>
      <t>182562</t>
    </r>
    <r>
      <rPr>
        <sz val="10"/>
        <color theme="1"/>
        <rFont val="Arial"/>
        <family val="2"/>
      </rPr>
      <t xml:space="preserve"> - Other Regulatory Asset - EE&amp;C Deferral</t>
    </r>
  </si>
  <si>
    <r>
      <rPr>
        <b/>
        <sz val="10"/>
        <color theme="1"/>
        <rFont val="Arial"/>
        <family val="2"/>
      </rPr>
      <t xml:space="preserve">407850 </t>
    </r>
    <r>
      <rPr>
        <sz val="10"/>
        <color theme="1"/>
        <rFont val="Arial"/>
        <family val="2"/>
      </rPr>
      <t>- Regulatory Debits (CC 461019)</t>
    </r>
  </si>
  <si>
    <t>To Record the Monthly Interest on Over/(Under) Recovery</t>
  </si>
  <si>
    <r>
      <rPr>
        <b/>
        <sz val="10"/>
        <color theme="1"/>
        <rFont val="Arial"/>
        <family val="2"/>
      </rPr>
      <t>182562</t>
    </r>
    <r>
      <rPr>
        <sz val="10"/>
        <color theme="1"/>
        <rFont val="Arial"/>
        <family val="2"/>
      </rPr>
      <t xml:space="preserve"> - Other Regulatory Asset </t>
    </r>
  </si>
  <si>
    <r>
      <rPr>
        <b/>
        <sz val="10"/>
        <color theme="1"/>
        <rFont val="Arial"/>
        <family val="2"/>
      </rPr>
      <t>419003</t>
    </r>
    <r>
      <rPr>
        <sz val="10"/>
        <color theme="1"/>
        <rFont val="Arial"/>
        <family val="2"/>
      </rPr>
      <t xml:space="preserve"> - Interest Income (CC 461019)</t>
    </r>
  </si>
  <si>
    <r>
      <rPr>
        <b/>
        <sz val="10"/>
        <color theme="1"/>
        <rFont val="Arial"/>
        <family val="2"/>
      </rPr>
      <t>431125</t>
    </r>
    <r>
      <rPr>
        <sz val="10"/>
        <color theme="1"/>
        <rFont val="Arial"/>
        <family val="2"/>
      </rPr>
      <t xml:space="preserve"> - Interest Expense (CC 461019)</t>
    </r>
  </si>
  <si>
    <t>To Record the Monthly Investment (10 Year, Program Investment)</t>
  </si>
  <si>
    <r>
      <rPr>
        <b/>
        <sz val="10"/>
        <color theme="1"/>
        <rFont val="Arial"/>
        <family val="2"/>
      </rPr>
      <t>182135</t>
    </r>
    <r>
      <rPr>
        <sz val="10"/>
        <color theme="1"/>
        <rFont val="Arial"/>
        <family val="2"/>
      </rPr>
      <t xml:space="preserve"> - Other Regulatory Asset - EE&amp;C Investment</t>
    </r>
  </si>
  <si>
    <r>
      <rPr>
        <b/>
        <sz val="10"/>
        <color theme="1"/>
        <rFont val="Arial"/>
        <family val="2"/>
      </rPr>
      <t>407135</t>
    </r>
    <r>
      <rPr>
        <sz val="10"/>
        <color theme="1"/>
        <rFont val="Arial"/>
        <family val="2"/>
      </rPr>
      <t xml:space="preserve"> - Investment - Regulatory Asset (CC 461019)</t>
    </r>
  </si>
  <si>
    <t>To Record the Monthly Investment (1 Year, 3rd Party Financing)</t>
  </si>
  <si>
    <t>To Record the Monthly Amortization (10 Year, Program Investment)</t>
  </si>
  <si>
    <r>
      <rPr>
        <b/>
        <sz val="10"/>
        <color theme="1"/>
        <rFont val="Arial"/>
        <family val="2"/>
      </rPr>
      <t>182135</t>
    </r>
    <r>
      <rPr>
        <sz val="10"/>
        <color theme="1"/>
        <rFont val="Arial"/>
        <family val="2"/>
      </rPr>
      <t xml:space="preserve"> - Other Regulatory Asset - EE&amp;C Investment Amortization</t>
    </r>
  </si>
  <si>
    <r>
      <rPr>
        <b/>
        <sz val="10"/>
        <color theme="1"/>
        <rFont val="Arial"/>
        <family val="2"/>
      </rPr>
      <t>407135</t>
    </r>
    <r>
      <rPr>
        <sz val="10"/>
        <color theme="1"/>
        <rFont val="Arial"/>
        <family val="2"/>
      </rPr>
      <t xml:space="preserve"> - Amortization - Regulatory Asset (CC 461019)</t>
    </r>
  </si>
  <si>
    <t>To Record the Monthly Amortization (1 Year, 3rd Party Financing)</t>
  </si>
  <si>
    <t>RRC Rate Impacts</t>
  </si>
  <si>
    <t xml:space="preserve"> </t>
  </si>
  <si>
    <t>Jersey Central Power &amp; Light</t>
  </si>
  <si>
    <t>kWh Forecast</t>
  </si>
  <si>
    <t>RES</t>
  </si>
  <si>
    <t>COM</t>
  </si>
  <si>
    <t>IND</t>
  </si>
  <si>
    <t>JC01</t>
  </si>
  <si>
    <t>JC</t>
  </si>
  <si>
    <t>OL</t>
  </si>
  <si>
    <t>202207</t>
  </si>
  <si>
    <t>202208</t>
  </si>
  <si>
    <t>202209</t>
  </si>
  <si>
    <t>202210</t>
  </si>
  <si>
    <t>202211</t>
  </si>
  <si>
    <t>202212</t>
  </si>
  <si>
    <t>202301</t>
  </si>
  <si>
    <t>202302</t>
  </si>
  <si>
    <t>202303</t>
  </si>
  <si>
    <t>202304</t>
  </si>
  <si>
    <t>202305</t>
  </si>
  <si>
    <t>202306</t>
  </si>
  <si>
    <t>STLT</t>
  </si>
  <si>
    <t>GP</t>
  </si>
  <si>
    <t>GP_FRAN</t>
  </si>
  <si>
    <t>GS</t>
  </si>
  <si>
    <t>GS_FRAN</t>
  </si>
  <si>
    <t>GST</t>
  </si>
  <si>
    <t>GST_FRAN</t>
  </si>
  <si>
    <t>GT</t>
  </si>
  <si>
    <t>GT_230</t>
  </si>
  <si>
    <t>GT_DOD</t>
  </si>
  <si>
    <t>GT_FRAN</t>
  </si>
  <si>
    <t>GT_PROV_D</t>
  </si>
  <si>
    <t>RS</t>
  </si>
  <si>
    <t>RSH</t>
  </si>
  <si>
    <t>RGT</t>
  </si>
  <si>
    <t>RT</t>
  </si>
  <si>
    <t>RTH</t>
  </si>
  <si>
    <t>Attachment EE&amp;C-1</t>
  </si>
  <si>
    <t>Total 2022</t>
  </si>
  <si>
    <t>Actual Monthly Revenue Requirement (7/1/22 to 6/30/23)</t>
  </si>
  <si>
    <t>Forecasted Revenue Requirement</t>
  </si>
  <si>
    <t>Over/(Under)</t>
  </si>
  <si>
    <t>Forecasted Reconciliation</t>
  </si>
  <si>
    <t>Forecasted Revenues</t>
  </si>
  <si>
    <t>Forecasted</t>
  </si>
  <si>
    <t>EE&amp;C Rate</t>
  </si>
  <si>
    <t xml:space="preserve">Forecasted </t>
  </si>
  <si>
    <t>kWh Sales</t>
  </si>
  <si>
    <t>per kWh</t>
  </si>
  <si>
    <t>Projected Revenue Requirement (7/1/23 to 6/30/24)</t>
  </si>
  <si>
    <t>For the Period July 1, 2023 to June 30, 2024</t>
  </si>
  <si>
    <t>Actual Reconciliation (Over)/Under Collection 7/1/22 to 12/31/22, Forecasted Reconciliation 1/1/23 to 6/30/23</t>
  </si>
  <si>
    <t>Total Net Revenue Requirement - 7/1/23 - 6/30/24</t>
  </si>
  <si>
    <t>PSHL</t>
  </si>
  <si>
    <t>202307</t>
  </si>
  <si>
    <t>202308</t>
  </si>
  <si>
    <t>202309</t>
  </si>
  <si>
    <t>202310</t>
  </si>
  <si>
    <t>202311</t>
  </si>
  <si>
    <t>202312</t>
  </si>
  <si>
    <t>202401</t>
  </si>
  <si>
    <t>202402</t>
  </si>
  <si>
    <t>202403</t>
  </si>
  <si>
    <t>202404</t>
  </si>
  <si>
    <t>202405</t>
  </si>
  <si>
    <t>202406</t>
  </si>
  <si>
    <t>202407</t>
  </si>
  <si>
    <t>202408</t>
  </si>
  <si>
    <t>202409</t>
  </si>
  <si>
    <t>202410</t>
  </si>
  <si>
    <t>202411</t>
  </si>
  <si>
    <t>202412</t>
  </si>
  <si>
    <t>202501</t>
  </si>
  <si>
    <t>202502</t>
  </si>
  <si>
    <t>202503</t>
  </si>
  <si>
    <t>202504</t>
  </si>
  <si>
    <t>202505</t>
  </si>
  <si>
    <t>202506</t>
  </si>
  <si>
    <t>202507</t>
  </si>
  <si>
    <t>202508</t>
  </si>
  <si>
    <t>202509</t>
  </si>
  <si>
    <t>202510</t>
  </si>
  <si>
    <t>202511</t>
  </si>
  <si>
    <t>202512</t>
  </si>
  <si>
    <t>202601</t>
  </si>
  <si>
    <t>202602</t>
  </si>
  <si>
    <t>202603</t>
  </si>
  <si>
    <t>202604</t>
  </si>
  <si>
    <t>202605</t>
  </si>
  <si>
    <t>202606</t>
  </si>
  <si>
    <t>202607</t>
  </si>
  <si>
    <t>202608</t>
  </si>
  <si>
    <t>202609</t>
  </si>
  <si>
    <t>202610</t>
  </si>
  <si>
    <t>202611</t>
  </si>
  <si>
    <t>202612</t>
  </si>
  <si>
    <t>Total Projected Revenue Requirement - 7/1/23 - 6/30/24</t>
  </si>
  <si>
    <t>Attachment RRC-1</t>
  </si>
  <si>
    <t>Page 1 of 7</t>
  </si>
  <si>
    <t>Page 2 of 7</t>
  </si>
  <si>
    <t>Page 3 of 7</t>
  </si>
  <si>
    <t>Page 4 of 7</t>
  </si>
  <si>
    <t>Page 5 of 7</t>
  </si>
  <si>
    <t>Page 6 of 7</t>
  </si>
  <si>
    <t>Page 7 of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</si>
</sst>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8" formatCode="&quot;$&quot;#,##0.00_);[Red]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0.0000%"/>
    <numFmt numFmtId="167" formatCode="0.00000%"/>
    <numFmt numFmtId="168" formatCode="_(&quot;$&quot;* #,##0.000000_);_(&quot;$&quot;* \(#,##0.000000\);_(&quot;$&quot;* &quot;-&quot;??_);_(@_)"/>
    <numFmt numFmtId="169" formatCode="_(* #,##0.000000_);_(* \(#,##0.00000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2"/>
      <color theme="1"/>
      <name val="Calibri"/>
      <family val="2"/>
      <scheme val="minor"/>
    </font>
    <font>
      <u val="singleAccounting"/>
      <sz val="11"/>
      <color theme="1"/>
      <name val="Calibri"/>
      <family val="2"/>
      <scheme val="minor"/>
    </font>
    <font>
      <u val="doubleAccounting"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u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9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0" fontId="3" fillId="0" borderId="0" xfId="0" applyFont="1" applyAlignment="1">
      <alignment horizontal="left"/>
    </xf>
    <xf numFmtId="0" fontId="4" fillId="0" borderId="0" xfId="0" applyFont="1"/>
    <xf numFmtId="17" fontId="0" fillId="0" borderId="0" xfId="0" applyNumberFormat="1"/>
    <xf numFmtId="0" fontId="0" fillId="0" borderId="0" xfId="0" applyAlignment="1">
      <alignment horizontal="right"/>
    </xf>
    <xf numFmtId="164" fontId="0" fillId="0" borderId="0" xfId="1" applyNumberFormat="1" applyFont="1"/>
    <xf numFmtId="165" fontId="0" fillId="0" borderId="0" xfId="2" applyNumberFormat="1" applyFont="1"/>
    <xf numFmtId="165" fontId="0" fillId="0" borderId="0" xfId="0" applyNumberFormat="1"/>
    <xf numFmtId="10" fontId="0" fillId="0" borderId="0" xfId="3" applyNumberFormat="1" applyFont="1"/>
    <xf numFmtId="166" fontId="0" fillId="0" borderId="0" xfId="3" applyNumberFormat="1" applyFont="1"/>
    <xf numFmtId="167" fontId="2" fillId="0" borderId="0" xfId="3" applyNumberFormat="1" applyFont="1" applyAlignment="1">
      <alignment horizontal="center"/>
    </xf>
    <xf numFmtId="167" fontId="2" fillId="0" borderId="2" xfId="3" applyNumberFormat="1" applyFont="1" applyBorder="1"/>
    <xf numFmtId="0" fontId="2" fillId="0" borderId="1" xfId="0" applyFont="1" applyBorder="1" applyAlignment="1">
      <alignment horizontal="center"/>
    </xf>
    <xf numFmtId="165" fontId="6" fillId="0" borderId="0" xfId="2" applyNumberFormat="1" applyFont="1"/>
    <xf numFmtId="165" fontId="6" fillId="0" borderId="0" xfId="0" applyNumberFormat="1" applyFont="1"/>
    <xf numFmtId="164" fontId="5" fillId="0" borderId="0" xfId="1" applyNumberFormat="1" applyFont="1"/>
    <xf numFmtId="164" fontId="7" fillId="0" borderId="0" xfId="1" applyNumberFormat="1" applyFont="1" applyBorder="1" applyAlignment="1">
      <alignment vertical="center"/>
    </xf>
    <xf numFmtId="165" fontId="5" fillId="0" borderId="0" xfId="2" applyNumberFormat="1" applyFont="1" applyAlignment="1">
      <alignment wrapText="1"/>
    </xf>
    <xf numFmtId="168" fontId="2" fillId="0" borderId="2" xfId="0" applyNumberFormat="1" applyFont="1" applyBorder="1"/>
    <xf numFmtId="168" fontId="2" fillId="0" borderId="0" xfId="2" applyNumberFormat="1" applyFont="1" applyBorder="1"/>
    <xf numFmtId="14" fontId="2" fillId="0" borderId="0" xfId="0" applyNumberFormat="1" applyFont="1" applyAlignment="1">
      <alignment horizontal="center"/>
    </xf>
    <xf numFmtId="44" fontId="8" fillId="0" borderId="3" xfId="2" applyFont="1" applyFill="1" applyBorder="1" applyAlignment="1">
      <alignment vertical="center"/>
    </xf>
    <xf numFmtId="0" fontId="7" fillId="0" borderId="0" xfId="0" applyFont="1" applyAlignment="1">
      <alignment vertical="center"/>
    </xf>
    <xf numFmtId="44" fontId="7" fillId="0" borderId="5" xfId="2" applyFont="1" applyFill="1" applyBorder="1" applyAlignment="1">
      <alignment vertical="center"/>
    </xf>
    <xf numFmtId="0" fontId="0" fillId="0" borderId="0" xfId="0" applyAlignment="1">
      <alignment vertical="center"/>
    </xf>
    <xf numFmtId="164" fontId="7" fillId="0" borderId="6" xfId="1" applyNumberFormat="1" applyFont="1" applyBorder="1" applyAlignment="1">
      <alignment vertical="center"/>
    </xf>
    <xf numFmtId="164" fontId="7" fillId="0" borderId="7" xfId="1" applyNumberFormat="1" applyFont="1" applyBorder="1" applyAlignment="1">
      <alignment vertical="center"/>
    </xf>
    <xf numFmtId="164" fontId="7" fillId="0" borderId="8" xfId="1" applyNumberFormat="1" applyFont="1" applyBorder="1" applyAlignment="1">
      <alignment vertical="center"/>
    </xf>
    <xf numFmtId="164" fontId="7" fillId="0" borderId="9" xfId="1" applyNumberFormat="1" applyFont="1" applyBorder="1" applyAlignment="1">
      <alignment vertical="center"/>
    </xf>
    <xf numFmtId="44" fontId="8" fillId="0" borderId="5" xfId="2" applyFont="1" applyFill="1" applyBorder="1" applyAlignment="1">
      <alignment vertical="center"/>
    </xf>
    <xf numFmtId="164" fontId="0" fillId="0" borderId="10" xfId="1" applyNumberFormat="1" applyFont="1" applyBorder="1"/>
    <xf numFmtId="164" fontId="0" fillId="0" borderId="6" xfId="1" applyNumberFormat="1" applyFont="1" applyBorder="1"/>
    <xf numFmtId="44" fontId="7" fillId="0" borderId="11" xfId="2" applyFont="1" applyFill="1" applyBorder="1" applyAlignment="1">
      <alignment vertical="center"/>
    </xf>
    <xf numFmtId="164" fontId="0" fillId="0" borderId="8" xfId="1" applyNumberFormat="1" applyFont="1" applyBorder="1"/>
    <xf numFmtId="164" fontId="0" fillId="0" borderId="9" xfId="1" applyNumberFormat="1" applyFont="1" applyBorder="1"/>
    <xf numFmtId="164" fontId="0" fillId="0" borderId="12" xfId="1" applyNumberFormat="1" applyFont="1" applyBorder="1"/>
    <xf numFmtId="164" fontId="0" fillId="0" borderId="13" xfId="1" applyNumberFormat="1" applyFont="1" applyBorder="1"/>
    <xf numFmtId="164" fontId="0" fillId="0" borderId="0" xfId="1" applyNumberFormat="1" applyFont="1" applyBorder="1"/>
    <xf numFmtId="44" fontId="10" fillId="0" borderId="14" xfId="2" applyFont="1" applyFill="1" applyBorder="1" applyAlignment="1">
      <alignment vertical="center"/>
    </xf>
    <xf numFmtId="44" fontId="7" fillId="0" borderId="14" xfId="2" applyFont="1" applyFill="1" applyBorder="1" applyAlignment="1">
      <alignment vertical="center"/>
    </xf>
    <xf numFmtId="164" fontId="0" fillId="0" borderId="16" xfId="1" applyNumberFormat="1" applyFont="1" applyBorder="1"/>
    <xf numFmtId="164" fontId="0" fillId="0" borderId="4" xfId="1" applyNumberFormat="1" applyFont="1" applyBorder="1"/>
    <xf numFmtId="0" fontId="9" fillId="0" borderId="17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164" fontId="0" fillId="0" borderId="0" xfId="1" applyNumberFormat="1" applyFont="1" applyFill="1"/>
    <xf numFmtId="164" fontId="5" fillId="0" borderId="0" xfId="1" applyNumberFormat="1" applyFont="1" applyFill="1"/>
    <xf numFmtId="166" fontId="0" fillId="0" borderId="0" xfId="3" applyNumberFormat="1" applyFont="1" applyFill="1"/>
    <xf numFmtId="164" fontId="0" fillId="0" borderId="10" xfId="1" applyNumberFormat="1" applyFont="1" applyFill="1" applyBorder="1"/>
    <xf numFmtId="164" fontId="7" fillId="0" borderId="0" xfId="1" applyNumberFormat="1" applyFont="1" applyFill="1" applyBorder="1" applyAlignment="1">
      <alignment vertical="center"/>
    </xf>
    <xf numFmtId="164" fontId="0" fillId="0" borderId="12" xfId="1" applyNumberFormat="1" applyFont="1" applyFill="1" applyBorder="1"/>
    <xf numFmtId="164" fontId="0" fillId="0" borderId="0" xfId="1" applyNumberFormat="1" applyFont="1" applyFill="1" applyBorder="1"/>
    <xf numFmtId="164" fontId="2" fillId="0" borderId="0" xfId="1" applyNumberFormat="1" applyFont="1"/>
    <xf numFmtId="0" fontId="11" fillId="0" borderId="0" xfId="0" applyFont="1"/>
    <xf numFmtId="164" fontId="0" fillId="0" borderId="0" xfId="0" applyNumberFormat="1"/>
    <xf numFmtId="164" fontId="2" fillId="0" borderId="0" xfId="0" applyNumberFormat="1" applyFont="1"/>
    <xf numFmtId="168" fontId="0" fillId="0" borderId="0" xfId="2" applyNumberFormat="1" applyFont="1"/>
    <xf numFmtId="0" fontId="2" fillId="0" borderId="1" xfId="0" applyFont="1" applyBorder="1"/>
    <xf numFmtId="0" fontId="2" fillId="0" borderId="1" xfId="0" applyFont="1" applyBorder="1" applyAlignment="1">
      <alignment horizontal="right"/>
    </xf>
    <xf numFmtId="44" fontId="0" fillId="0" borderId="0" xfId="0" applyNumberFormat="1"/>
    <xf numFmtId="43" fontId="0" fillId="0" borderId="0" xfId="0" applyNumberFormat="1"/>
    <xf numFmtId="0" fontId="11" fillId="0" borderId="0" xfId="0" applyFont="1" applyAlignment="1">
      <alignment horizontal="center"/>
    </xf>
    <xf numFmtId="165" fontId="2" fillId="0" borderId="0" xfId="2" applyNumberFormat="1" applyFont="1"/>
    <xf numFmtId="0" fontId="9" fillId="0" borderId="13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164" fontId="0" fillId="0" borderId="5" xfId="1" applyNumberFormat="1" applyFont="1" applyBorder="1"/>
    <xf numFmtId="164" fontId="0" fillId="0" borderId="11" xfId="0" applyNumberFormat="1" applyBorder="1"/>
    <xf numFmtId="164" fontId="0" fillId="0" borderId="8" xfId="0" applyNumberFormat="1" applyBorder="1"/>
    <xf numFmtId="164" fontId="0" fillId="0" borderId="14" xfId="1" applyNumberFormat="1" applyFont="1" applyBorder="1"/>
    <xf numFmtId="164" fontId="0" fillId="0" borderId="11" xfId="1" applyNumberFormat="1" applyFont="1" applyBorder="1"/>
    <xf numFmtId="169" fontId="0" fillId="0" borderId="0" xfId="1" applyNumberFormat="1" applyFont="1"/>
    <xf numFmtId="169" fontId="0" fillId="0" borderId="0" xfId="0" applyNumberFormat="1"/>
    <xf numFmtId="169" fontId="5" fillId="0" borderId="0" xfId="1" applyNumberFormat="1" applyFont="1"/>
    <xf numFmtId="169" fontId="5" fillId="0" borderId="0" xfId="0" applyNumberFormat="1" applyFont="1"/>
    <xf numFmtId="168" fontId="2" fillId="0" borderId="0" xfId="2" applyNumberFormat="1" applyFont="1"/>
    <xf numFmtId="164" fontId="0" fillId="0" borderId="0" xfId="0" applyNumberFormat="1" applyAlignment="1">
      <alignment horizontal="center"/>
    </xf>
    <xf numFmtId="164" fontId="5" fillId="0" borderId="0" xfId="0" applyNumberFormat="1" applyFont="1" applyAlignment="1">
      <alignment horizontal="center"/>
    </xf>
    <xf numFmtId="165" fontId="2" fillId="0" borderId="0" xfId="2" applyNumberFormat="1" applyFont="1" applyAlignment="1">
      <alignment horizontal="center"/>
    </xf>
    <xf numFmtId="0" fontId="12" fillId="0" borderId="0" xfId="0" applyFont="1"/>
    <xf numFmtId="41" fontId="0" fillId="0" borderId="0" xfId="2" applyNumberFormat="1" applyFont="1"/>
    <xf numFmtId="164" fontId="1" fillId="0" borderId="0" xfId="1" applyNumberFormat="1" applyFont="1"/>
    <xf numFmtId="0" fontId="0" fillId="0" borderId="12" xfId="0" applyBorder="1"/>
    <xf numFmtId="164" fontId="0" fillId="0" borderId="20" xfId="1" applyNumberFormat="1" applyFont="1" applyBorder="1"/>
    <xf numFmtId="0" fontId="0" fillId="0" borderId="10" xfId="0" applyBorder="1"/>
    <xf numFmtId="0" fontId="2" fillId="0" borderId="0" xfId="0" applyFont="1" applyAlignment="1">
      <alignment horizontal="centerContinuous"/>
    </xf>
    <xf numFmtId="0" fontId="11" fillId="0" borderId="0" xfId="0" applyFont="1" applyAlignment="1">
      <alignment horizontal="center" wrapText="1"/>
    </xf>
    <xf numFmtId="0" fontId="2" fillId="0" borderId="0" xfId="0" applyFont="1" applyAlignment="1">
      <alignment horizontal="right"/>
    </xf>
    <xf numFmtId="8" fontId="0" fillId="0" borderId="0" xfId="0" applyNumberFormat="1"/>
    <xf numFmtId="14" fontId="2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17" fontId="0" fillId="0" borderId="0" xfId="0" applyNumberFormat="1" applyFont="1"/>
    <xf numFmtId="164" fontId="0" fillId="0" borderId="0" xfId="0" applyNumberFormat="1" applyFont="1"/>
    <xf numFmtId="164" fontId="5" fillId="0" borderId="0" xfId="0" applyNumberFormat="1" applyFont="1"/>
    <xf numFmtId="165" fontId="0" fillId="0" borderId="0" xfId="0" applyNumberFormat="1" applyFont="1"/>
    <xf numFmtId="165" fontId="1" fillId="0" borderId="0" xfId="2" applyNumberFormat="1" applyFont="1"/>
    <xf numFmtId="10" fontId="1" fillId="0" borderId="0" xfId="3" applyNumberFormat="1" applyFont="1"/>
    <xf numFmtId="0" fontId="0" fillId="0" borderId="0" xfId="1" applyNumberFormat="1" applyFont="1"/>
    <xf numFmtId="0" fontId="2" fillId="0" borderId="1" xfId="0" applyFont="1" applyBorder="1" applyAlignment="1">
      <alignment horizontal="center"/>
    </xf>
    <xf numFmtId="0" fontId="11" fillId="0" borderId="0" xfId="0" applyFont="1" applyAlignment="1">
      <alignment horizontal="center"/>
    </xf>
    <xf numFmtId="1" fontId="9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center" wrapText="1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9.png@01D9358B.F822D96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6</xdr:row>
      <xdr:rowOff>9525</xdr:rowOff>
    </xdr:from>
    <xdr:to>
      <xdr:col>9</xdr:col>
      <xdr:colOff>769620</xdr:colOff>
      <xdr:row>33</xdr:row>
      <xdr:rowOff>98567</xdr:rowOff>
    </xdr:to>
    <xdr:pic>
      <xdr:nvPicPr>
        <xdr:cNvPr id="4" name="Picture 7">
          <a:extLst>
            <a:ext uri="{FF2B5EF4-FFF2-40B4-BE49-F238E27FC236}">
              <a16:creationId xmlns:a16="http://schemas.microsoft.com/office/drawing/2014/main" id="{FF3F1032-7B41-CC8E-21BD-5D4A8B0F33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1152525"/>
          <a:ext cx="6084570" cy="49753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</xdr:row>
      <xdr:rowOff>0</xdr:rowOff>
    </xdr:from>
    <xdr:to>
      <xdr:col>2</xdr:col>
      <xdr:colOff>0</xdr:colOff>
      <xdr:row>7</xdr:row>
      <xdr:rowOff>0</xdr:rowOff>
    </xdr:to>
    <xdr:sp macro="" textlink="">
      <xdr:nvSpPr>
        <xdr:cNvPr id="2" name="TextBox 1" descr="_EPM_DimensionHeader-000-COMPANY">
          <a:extLst>
            <a:ext uri="{FF2B5EF4-FFF2-40B4-BE49-F238E27FC236}">
              <a16:creationId xmlns:a16="http://schemas.microsoft.com/office/drawing/2014/main" id="{656E0FE5-2812-4BA1-A59A-3FF9CE46B49C}"/>
            </a:ext>
          </a:extLst>
        </xdr:cNvPr>
        <xdr:cNvSpPr txBox="1"/>
      </xdr:nvSpPr>
      <xdr:spPr>
        <a:xfrm>
          <a:off x="1226820" y="2377440"/>
          <a:ext cx="1051560" cy="182880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wrap="none" rtlCol="0" anchor="ctr"/>
        <a:lstStyle/>
        <a:p>
          <a:pPr algn="l"/>
          <a:r>
            <a:rPr lang="en-US" sz="1100" b="1"/>
            <a:t>COMPANY</a:t>
          </a:r>
        </a:p>
      </xdr:txBody>
    </xdr:sp>
    <xdr:clientData fPrintsWithSheet="0"/>
  </xdr:twoCellAnchor>
  <xdr:twoCellAnchor>
    <xdr:from>
      <xdr:col>2</xdr:col>
      <xdr:colOff>0</xdr:colOff>
      <xdr:row>5</xdr:row>
      <xdr:rowOff>0</xdr:rowOff>
    </xdr:from>
    <xdr:to>
      <xdr:col>3</xdr:col>
      <xdr:colOff>0</xdr:colOff>
      <xdr:row>6</xdr:row>
      <xdr:rowOff>0</xdr:rowOff>
    </xdr:to>
    <xdr:sp macro="" textlink="">
      <xdr:nvSpPr>
        <xdr:cNvPr id="3" name="TextBox 2" descr="_EPM_DimensionHeader-000-CUST_CLASS">
          <a:extLst>
            <a:ext uri="{FF2B5EF4-FFF2-40B4-BE49-F238E27FC236}">
              <a16:creationId xmlns:a16="http://schemas.microsoft.com/office/drawing/2014/main" id="{E3067D74-DB6A-40DF-A09D-C24DA0F8D625}"/>
            </a:ext>
          </a:extLst>
        </xdr:cNvPr>
        <xdr:cNvSpPr txBox="1"/>
      </xdr:nvSpPr>
      <xdr:spPr>
        <a:xfrm>
          <a:off x="2278380" y="2194560"/>
          <a:ext cx="480060" cy="182880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wrap="none" rtlCol="0" anchor="ctr"/>
        <a:lstStyle/>
        <a:p>
          <a:pPr algn="l"/>
          <a:r>
            <a:rPr lang="en-US" sz="1100" b="1"/>
            <a:t>CUST_CLASS</a:t>
          </a:r>
        </a:p>
      </xdr:txBody>
    </xdr:sp>
    <xdr:clientData fPrintsWithSheet="0"/>
  </xdr:twoCellAnchor>
  <xdr:twoCellAnchor>
    <xdr:from>
      <xdr:col>2</xdr:col>
      <xdr:colOff>0</xdr:colOff>
      <xdr:row>6</xdr:row>
      <xdr:rowOff>0</xdr:rowOff>
    </xdr:from>
    <xdr:to>
      <xdr:col>3</xdr:col>
      <xdr:colOff>0</xdr:colOff>
      <xdr:row>7</xdr:row>
      <xdr:rowOff>0</xdr:rowOff>
    </xdr:to>
    <xdr:sp macro="" textlink="">
      <xdr:nvSpPr>
        <xdr:cNvPr id="4" name="TextBox 3" descr="_EPM_DimensionHeader-000-CYCLE_MONTH / RATE_SCHEDULE">
          <a:extLst>
            <a:ext uri="{FF2B5EF4-FFF2-40B4-BE49-F238E27FC236}">
              <a16:creationId xmlns:a16="http://schemas.microsoft.com/office/drawing/2014/main" id="{9929B159-4510-4962-A590-B5632F3717E4}"/>
            </a:ext>
          </a:extLst>
        </xdr:cNvPr>
        <xdr:cNvSpPr txBox="1"/>
      </xdr:nvSpPr>
      <xdr:spPr>
        <a:xfrm>
          <a:off x="2278380" y="2377440"/>
          <a:ext cx="480060" cy="182880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wrap="none" rtlCol="0" anchor="ctr"/>
        <a:lstStyle/>
        <a:p>
          <a:pPr algn="l"/>
          <a:r>
            <a:rPr lang="en-US" sz="1100" b="1"/>
            <a:t>CYCLE_MONTH / RATE_SCHEDULE</a:t>
          </a:r>
        </a:p>
      </xdr:txBody>
    </xdr:sp>
    <xdr:clientData fPrintsWithSheet="0"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37D50D-EB31-4B85-A452-D3E9ED38A27F}">
  <sheetPr>
    <tabColor rgb="FFFFFF00"/>
  </sheetPr>
  <dimension ref="A1:L25"/>
  <sheetViews>
    <sheetView tabSelected="1" view="pageBreakPreview" zoomScale="60" zoomScaleNormal="80" workbookViewId="0">
      <selection activeCell="F23" sqref="F23"/>
    </sheetView>
  </sheetViews>
  <sheetFormatPr defaultRowHeight="14.5" x14ac:dyDescent="0.35"/>
  <cols>
    <col min="1" max="1" width="24.54296875" customWidth="1"/>
    <col min="2" max="2" width="13.453125" bestFit="1" customWidth="1"/>
    <col min="3" max="3" width="11.81640625" bestFit="1" customWidth="1"/>
    <col min="4" max="4" width="5.453125" customWidth="1"/>
    <col min="5" max="5" width="13.453125" bestFit="1" customWidth="1"/>
    <col min="6" max="6" width="13" bestFit="1" customWidth="1"/>
    <col min="8" max="8" width="19.1796875" bestFit="1" customWidth="1"/>
    <col min="9" max="9" width="11.54296875" bestFit="1" customWidth="1"/>
    <col min="10" max="11" width="12" bestFit="1" customWidth="1"/>
    <col min="12" max="12" width="5.81640625" bestFit="1" customWidth="1"/>
  </cols>
  <sheetData>
    <row r="1" spans="1:10" ht="15.5" x14ac:dyDescent="0.35">
      <c r="A1" s="6" t="s">
        <v>0</v>
      </c>
      <c r="F1" s="92" t="s">
        <v>223</v>
      </c>
    </row>
    <row r="2" spans="1:10" ht="15.5" x14ac:dyDescent="0.35">
      <c r="A2" s="7" t="s">
        <v>1</v>
      </c>
      <c r="F2" s="92"/>
    </row>
    <row r="3" spans="1:10" ht="15.5" x14ac:dyDescent="0.35">
      <c r="A3" s="7" t="s">
        <v>2</v>
      </c>
    </row>
    <row r="7" spans="1:10" x14ac:dyDescent="0.35">
      <c r="E7" s="90"/>
      <c r="F7" s="90"/>
    </row>
    <row r="8" spans="1:10" x14ac:dyDescent="0.35">
      <c r="B8" s="104" t="s">
        <v>3</v>
      </c>
      <c r="C8" s="104"/>
      <c r="E8" s="104" t="s">
        <v>4</v>
      </c>
      <c r="F8" s="104"/>
    </row>
    <row r="9" spans="1:10" x14ac:dyDescent="0.35">
      <c r="B9" s="17" t="s">
        <v>5</v>
      </c>
      <c r="C9" s="17" t="s">
        <v>6</v>
      </c>
      <c r="E9" s="17" t="s">
        <v>5</v>
      </c>
      <c r="F9" s="17" t="s">
        <v>6</v>
      </c>
    </row>
    <row r="10" spans="1:10" x14ac:dyDescent="0.35">
      <c r="A10" t="s">
        <v>7</v>
      </c>
      <c r="B10" s="62">
        <v>-1.5200000000000001E-4</v>
      </c>
      <c r="C10" s="76">
        <v>-1.6200000000000001E-4</v>
      </c>
      <c r="E10" s="62">
        <v>3.1000000000000001E-5</v>
      </c>
      <c r="F10" s="62">
        <f t="shared" ref="F10:F13" si="0">ROUND(E10*1.06625,6)</f>
        <v>3.3000000000000003E-5</v>
      </c>
      <c r="H10" s="76"/>
      <c r="I10" s="76"/>
      <c r="J10" s="77"/>
    </row>
    <row r="11" spans="1:10" x14ac:dyDescent="0.35">
      <c r="A11" t="s">
        <v>8</v>
      </c>
      <c r="B11" s="76">
        <v>1.0679999999999999E-3</v>
      </c>
      <c r="C11" s="76">
        <v>1.139E-3</v>
      </c>
      <c r="E11" s="76">
        <v>2.0330000000000001E-3</v>
      </c>
      <c r="F11" s="77">
        <f t="shared" si="0"/>
        <v>2.1679999999999998E-3</v>
      </c>
      <c r="H11" s="76"/>
      <c r="I11" s="76"/>
      <c r="J11" s="77"/>
    </row>
    <row r="12" spans="1:10" x14ac:dyDescent="0.35">
      <c r="A12" t="s">
        <v>9</v>
      </c>
      <c r="B12" s="76">
        <v>4.5600000000000003E-4</v>
      </c>
      <c r="C12" s="76">
        <v>4.86E-4</v>
      </c>
      <c r="E12" s="76">
        <f>+'Rate Calculation (EE&amp;C-5)'!C19</f>
        <v>1.083E-3</v>
      </c>
      <c r="F12" s="77">
        <f t="shared" si="0"/>
        <v>1.155E-3</v>
      </c>
      <c r="H12" s="76"/>
      <c r="I12" s="76"/>
      <c r="J12" s="77"/>
    </row>
    <row r="13" spans="1:10" x14ac:dyDescent="0.35">
      <c r="A13" t="s">
        <v>10</v>
      </c>
      <c r="B13" s="76">
        <v>1E-10</v>
      </c>
      <c r="C13" s="76">
        <v>1E-10</v>
      </c>
      <c r="E13" s="76">
        <v>1E-10</v>
      </c>
      <c r="F13" s="77">
        <f t="shared" si="0"/>
        <v>0</v>
      </c>
      <c r="H13" s="76"/>
      <c r="I13" s="76"/>
      <c r="J13" s="77"/>
    </row>
    <row r="14" spans="1:10" ht="16" x14ac:dyDescent="0.5">
      <c r="A14" t="s">
        <v>11</v>
      </c>
      <c r="B14" s="78">
        <v>7.8999999999999996E-5</v>
      </c>
      <c r="C14" s="78">
        <v>8.3999999999999995E-5</v>
      </c>
      <c r="E14" s="78">
        <v>2.5900000000000001E-4</v>
      </c>
      <c r="F14" s="79">
        <f>ROUND(E14*1.06625,6)</f>
        <v>2.7599999999999999E-4</v>
      </c>
      <c r="H14" s="76"/>
      <c r="I14" s="76"/>
      <c r="J14" s="77"/>
    </row>
    <row r="15" spans="1:10" x14ac:dyDescent="0.35">
      <c r="A15" s="3" t="s">
        <v>12</v>
      </c>
      <c r="B15" s="80">
        <f>SUM(B10:B14)</f>
        <v>1.4510001000000001E-3</v>
      </c>
      <c r="C15" s="80">
        <f>SUM(C10:C14)</f>
        <v>1.5470001E-3</v>
      </c>
      <c r="D15" s="3"/>
      <c r="E15" s="80">
        <f>SUM(E10:E14)</f>
        <v>3.4060001000000006E-3</v>
      </c>
      <c r="F15" s="80">
        <f>SUM(F10:F14)</f>
        <v>3.6319999999999998E-3</v>
      </c>
      <c r="H15" s="76"/>
      <c r="I15" s="76"/>
      <c r="J15" s="77"/>
    </row>
    <row r="16" spans="1:10" x14ac:dyDescent="0.35">
      <c r="B16" s="76"/>
      <c r="C16" s="76"/>
      <c r="E16" s="76"/>
      <c r="F16" s="76"/>
    </row>
    <row r="17" spans="1:12" ht="29" x14ac:dyDescent="0.35">
      <c r="A17" s="59" t="s">
        <v>13</v>
      </c>
      <c r="B17" s="67" t="s">
        <v>14</v>
      </c>
      <c r="E17" s="67" t="s">
        <v>15</v>
      </c>
      <c r="F17" s="91" t="s">
        <v>16</v>
      </c>
      <c r="H17" s="76"/>
    </row>
    <row r="18" spans="1:12" x14ac:dyDescent="0.35">
      <c r="A18" t="s">
        <v>7</v>
      </c>
      <c r="B18" s="11">
        <v>-3021875</v>
      </c>
      <c r="E18" s="11">
        <v>616303</v>
      </c>
      <c r="F18" s="11">
        <f>E18-B18</f>
        <v>3638178</v>
      </c>
      <c r="H18" s="76"/>
    </row>
    <row r="19" spans="1:12" x14ac:dyDescent="0.35">
      <c r="A19" t="s">
        <v>8</v>
      </c>
      <c r="B19" s="10">
        <v>21232646</v>
      </c>
      <c r="E19" s="85">
        <v>40417573</v>
      </c>
      <c r="F19" s="81">
        <f>E19-B19</f>
        <v>19184927</v>
      </c>
      <c r="H19" s="76"/>
      <c r="I19" s="11"/>
      <c r="J19" s="11"/>
      <c r="K19" s="11"/>
      <c r="L19" s="11"/>
    </row>
    <row r="20" spans="1:12" x14ac:dyDescent="0.35">
      <c r="A20" t="s">
        <v>9</v>
      </c>
      <c r="B20" s="10">
        <v>8979238.1078756116</v>
      </c>
      <c r="E20" s="10">
        <f>+'Rate Calculation (EE&amp;C-5)'!C21</f>
        <v>21530856.846745178</v>
      </c>
      <c r="F20" s="81">
        <f>E20-B20</f>
        <v>12551618.738869566</v>
      </c>
      <c r="H20" s="76"/>
      <c r="I20" s="11"/>
      <c r="J20" s="11"/>
      <c r="K20" s="11"/>
      <c r="L20" s="11"/>
    </row>
    <row r="21" spans="1:12" x14ac:dyDescent="0.35">
      <c r="A21" t="s">
        <v>10</v>
      </c>
      <c r="B21" s="10">
        <v>0</v>
      </c>
      <c r="E21" s="10">
        <v>0</v>
      </c>
      <c r="F21" s="81">
        <f>E21-B21</f>
        <v>0</v>
      </c>
      <c r="H21" s="76"/>
      <c r="I21" s="11"/>
      <c r="J21" s="11"/>
      <c r="K21" s="11"/>
      <c r="L21" s="11"/>
    </row>
    <row r="22" spans="1:12" ht="16" x14ac:dyDescent="0.5">
      <c r="A22" t="s">
        <v>11</v>
      </c>
      <c r="B22" s="20">
        <v>1570580</v>
      </c>
      <c r="E22" s="20">
        <v>5149115</v>
      </c>
      <c r="F22" s="82">
        <f>E22-B22</f>
        <v>3578535</v>
      </c>
      <c r="H22" s="76"/>
    </row>
    <row r="23" spans="1:12" x14ac:dyDescent="0.35">
      <c r="A23" s="3" t="s">
        <v>12</v>
      </c>
      <c r="B23" s="68">
        <f>SUM(B18:B22)</f>
        <v>28760589.107875612</v>
      </c>
      <c r="C23" s="3"/>
      <c r="D23" s="3"/>
      <c r="E23" s="68">
        <f>SUM(E18:E22)</f>
        <v>67713847.846745178</v>
      </c>
      <c r="F23" s="83">
        <f>SUM(F18:F22)</f>
        <v>38953258.738869563</v>
      </c>
      <c r="H23" s="76"/>
    </row>
    <row r="24" spans="1:12" x14ac:dyDescent="0.35">
      <c r="B24" s="10"/>
      <c r="E24" s="10"/>
      <c r="F24" s="10"/>
    </row>
    <row r="25" spans="1:12" x14ac:dyDescent="0.35">
      <c r="B25" s="10"/>
    </row>
  </sheetData>
  <mergeCells count="2">
    <mergeCell ref="B8:C8"/>
    <mergeCell ref="E8:F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147CE5-4DE7-4485-924C-0E779858AE1C}">
  <sheetPr>
    <pageSetUpPr fitToPage="1"/>
  </sheetPr>
  <dimension ref="A1:F31"/>
  <sheetViews>
    <sheetView workbookViewId="0">
      <selection activeCell="G29" sqref="G29"/>
    </sheetView>
  </sheetViews>
  <sheetFormatPr defaultRowHeight="14.5" x14ac:dyDescent="0.35"/>
  <cols>
    <col min="1" max="1" width="16.453125" customWidth="1"/>
    <col min="2" max="3" width="13.54296875" bestFit="1" customWidth="1"/>
    <col min="4" max="4" width="12.1796875" bestFit="1" customWidth="1"/>
    <col min="5" max="5" width="11.54296875" bestFit="1" customWidth="1"/>
    <col min="6" max="6" width="13.54296875" bestFit="1" customWidth="1"/>
  </cols>
  <sheetData>
    <row r="1" spans="1:6" ht="15.5" x14ac:dyDescent="0.35">
      <c r="A1" s="6" t="s">
        <v>0</v>
      </c>
      <c r="F1" s="92" t="s">
        <v>163</v>
      </c>
    </row>
    <row r="2" spans="1:6" ht="15.5" x14ac:dyDescent="0.35">
      <c r="A2" s="7" t="s">
        <v>1</v>
      </c>
      <c r="F2" s="92" t="s">
        <v>224</v>
      </c>
    </row>
    <row r="3" spans="1:6" x14ac:dyDescent="0.35">
      <c r="A3" s="3" t="s">
        <v>17</v>
      </c>
    </row>
    <row r="6" spans="1:6" x14ac:dyDescent="0.35">
      <c r="A6" s="2"/>
      <c r="B6" s="2"/>
      <c r="C6" s="2"/>
      <c r="D6" s="2"/>
      <c r="E6" s="2"/>
      <c r="F6" s="2" t="s">
        <v>18</v>
      </c>
    </row>
    <row r="7" spans="1:6" x14ac:dyDescent="0.35">
      <c r="A7" s="2"/>
      <c r="B7" s="2" t="s">
        <v>19</v>
      </c>
      <c r="C7" s="2" t="s">
        <v>20</v>
      </c>
      <c r="D7" s="2" t="s">
        <v>21</v>
      </c>
      <c r="E7" s="2" t="s">
        <v>22</v>
      </c>
      <c r="F7" s="2" t="s">
        <v>23</v>
      </c>
    </row>
    <row r="8" spans="1:6" x14ac:dyDescent="0.35">
      <c r="A8" s="17" t="s">
        <v>24</v>
      </c>
      <c r="B8" s="17" t="s">
        <v>25</v>
      </c>
      <c r="C8" s="17" t="s">
        <v>25</v>
      </c>
      <c r="D8" s="17" t="s">
        <v>25</v>
      </c>
      <c r="E8" s="17" t="s">
        <v>26</v>
      </c>
      <c r="F8" s="17" t="s">
        <v>27</v>
      </c>
    </row>
    <row r="9" spans="1:6" x14ac:dyDescent="0.35">
      <c r="A9" s="8">
        <v>44562</v>
      </c>
      <c r="B9" s="11">
        <v>481527.87521688151</v>
      </c>
      <c r="C9" s="11">
        <v>377443.11506447836</v>
      </c>
      <c r="D9" s="11">
        <v>86237.428722157114</v>
      </c>
      <c r="E9" s="11">
        <v>4437.1869402110206</v>
      </c>
      <c r="F9" s="11">
        <f t="shared" ref="F9:F14" si="0">SUM(B9:E9)</f>
        <v>949645.60594372801</v>
      </c>
    </row>
    <row r="10" spans="1:6" x14ac:dyDescent="0.35">
      <c r="A10" s="8">
        <v>44593</v>
      </c>
      <c r="B10" s="10">
        <v>495643.40071512311</v>
      </c>
      <c r="C10" s="10">
        <v>454220.87730363425</v>
      </c>
      <c r="D10" s="10">
        <v>93578.875123094957</v>
      </c>
      <c r="E10" s="10">
        <v>4404.5971981242674</v>
      </c>
      <c r="F10" s="10">
        <f t="shared" si="0"/>
        <v>1047847.7503399766</v>
      </c>
    </row>
    <row r="11" spans="1:6" x14ac:dyDescent="0.35">
      <c r="A11" s="8">
        <v>44621</v>
      </c>
      <c r="B11" s="86">
        <v>421216.22</v>
      </c>
      <c r="C11" s="86">
        <v>585828.35</v>
      </c>
      <c r="D11" s="86">
        <v>93280.9</v>
      </c>
      <c r="E11" s="86">
        <v>4452.79</v>
      </c>
      <c r="F11" s="86">
        <f t="shared" si="0"/>
        <v>1104778.26</v>
      </c>
    </row>
    <row r="12" spans="1:6" x14ac:dyDescent="0.35">
      <c r="A12" s="8">
        <v>44652</v>
      </c>
      <c r="B12" s="86">
        <v>375374.01</v>
      </c>
      <c r="C12" s="86">
        <v>389023.63</v>
      </c>
      <c r="D12" s="86">
        <v>92296.02</v>
      </c>
      <c r="E12" s="86">
        <v>4419.67</v>
      </c>
      <c r="F12" s="86">
        <f t="shared" si="0"/>
        <v>861113.33000000007</v>
      </c>
    </row>
    <row r="13" spans="1:6" x14ac:dyDescent="0.35">
      <c r="A13" s="8">
        <v>44682</v>
      </c>
      <c r="B13" s="86">
        <v>353440.06</v>
      </c>
      <c r="C13" s="86">
        <v>403288.41</v>
      </c>
      <c r="D13" s="86">
        <v>93692.94</v>
      </c>
      <c r="E13" s="86">
        <v>3792.93</v>
      </c>
      <c r="F13" s="86">
        <f t="shared" si="0"/>
        <v>854214.34</v>
      </c>
    </row>
    <row r="14" spans="1:6" x14ac:dyDescent="0.35">
      <c r="A14" s="8">
        <v>44713</v>
      </c>
      <c r="B14" s="86">
        <v>468989.01</v>
      </c>
      <c r="C14" s="86">
        <v>422683.10290738568</v>
      </c>
      <c r="D14" s="86">
        <v>94064.042754982409</v>
      </c>
      <c r="E14" s="86">
        <v>2481.227385697538</v>
      </c>
      <c r="F14" s="86">
        <f t="shared" si="0"/>
        <v>988217.38304806559</v>
      </c>
    </row>
    <row r="15" spans="1:6" x14ac:dyDescent="0.35">
      <c r="A15" s="8">
        <v>44743</v>
      </c>
      <c r="B15" s="86">
        <v>648503.26521688176</v>
      </c>
      <c r="C15" s="86">
        <v>467880.92832356383</v>
      </c>
      <c r="D15" s="86">
        <v>94125.879144196966</v>
      </c>
      <c r="E15" s="86">
        <v>4824.4959671746783</v>
      </c>
      <c r="F15" s="86">
        <f t="shared" ref="F15:F16" si="1">SUM(B15:E15)</f>
        <v>1215334.568651817</v>
      </c>
    </row>
    <row r="16" spans="1:6" x14ac:dyDescent="0.35">
      <c r="A16" s="8">
        <v>44774</v>
      </c>
      <c r="B16" s="86">
        <v>778020.76</v>
      </c>
      <c r="C16" s="86">
        <v>477741.89</v>
      </c>
      <c r="D16" s="86">
        <v>100099.4</v>
      </c>
      <c r="E16" s="86">
        <v>3476.38</v>
      </c>
      <c r="F16" s="86">
        <f t="shared" si="1"/>
        <v>1359338.4299999997</v>
      </c>
    </row>
    <row r="17" spans="1:6" x14ac:dyDescent="0.35">
      <c r="A17" s="8">
        <v>44805</v>
      </c>
      <c r="B17" s="10">
        <v>666222.73215709277</v>
      </c>
      <c r="C17" s="10">
        <v>474878.39327080885</v>
      </c>
      <c r="D17" s="10">
        <v>99758.103950762015</v>
      </c>
      <c r="E17" s="10">
        <v>4150.2804454865181</v>
      </c>
      <c r="F17" s="10">
        <f t="shared" ref="F17:F20" si="2">SUM(B17:E17)</f>
        <v>1245009.5098241502</v>
      </c>
    </row>
    <row r="18" spans="1:6" x14ac:dyDescent="0.35">
      <c r="A18" s="8">
        <v>44835</v>
      </c>
      <c r="B18" s="10">
        <v>380812.10697538103</v>
      </c>
      <c r="C18" s="10">
        <v>394639.54648300121</v>
      </c>
      <c r="D18" s="10">
        <v>94212.232239155943</v>
      </c>
      <c r="E18" s="10">
        <v>4186.9322626025787</v>
      </c>
      <c r="F18" s="10">
        <f t="shared" si="2"/>
        <v>873850.81796014076</v>
      </c>
    </row>
    <row r="19" spans="1:6" x14ac:dyDescent="0.35">
      <c r="A19" s="8">
        <v>44866</v>
      </c>
      <c r="B19" s="10">
        <v>326910.40890973026</v>
      </c>
      <c r="C19" s="10">
        <v>361242.1948886285</v>
      </c>
      <c r="D19" s="10">
        <v>84587.837655334122</v>
      </c>
      <c r="E19" s="10">
        <v>4198.2898241500588</v>
      </c>
      <c r="F19" s="10">
        <f t="shared" si="2"/>
        <v>776938.73127784289</v>
      </c>
    </row>
    <row r="20" spans="1:6" ht="16" x14ac:dyDescent="0.5">
      <c r="A20" s="8">
        <v>44896</v>
      </c>
      <c r="B20" s="52">
        <v>401859.3729073857</v>
      </c>
      <c r="C20" s="52">
        <v>369437.48379835882</v>
      </c>
      <c r="D20" s="52">
        <v>83572.885650644792</v>
      </c>
      <c r="E20" s="52">
        <v>4125.4926377491211</v>
      </c>
      <c r="F20" s="20">
        <f t="shared" si="2"/>
        <v>858995.23499413836</v>
      </c>
    </row>
    <row r="21" spans="1:6" ht="16" x14ac:dyDescent="0.5">
      <c r="A21" s="9" t="s">
        <v>164</v>
      </c>
      <c r="B21" s="18">
        <f>SUM(B9:B20)</f>
        <v>5798519.2220984772</v>
      </c>
      <c r="C21" s="18">
        <f t="shared" ref="C21:E21" si="3">SUM(C9:C20)</f>
        <v>5178307.9220398581</v>
      </c>
      <c r="D21" s="18">
        <f t="shared" si="3"/>
        <v>1109506.5452403284</v>
      </c>
      <c r="E21" s="18">
        <f t="shared" si="3"/>
        <v>48950.272661195784</v>
      </c>
      <c r="F21" s="19">
        <f>SUM(B21:E21)</f>
        <v>12135283.96203986</v>
      </c>
    </row>
    <row r="29" spans="1:6" x14ac:dyDescent="0.35">
      <c r="A29" s="8"/>
      <c r="B29" s="86"/>
      <c r="C29" s="86"/>
      <c r="D29" s="86"/>
      <c r="E29" s="86"/>
      <c r="F29" s="86"/>
    </row>
    <row r="30" spans="1:6" ht="16" x14ac:dyDescent="0.5">
      <c r="A30" s="8"/>
      <c r="B30" s="20"/>
      <c r="C30" s="20"/>
      <c r="D30" s="20"/>
      <c r="E30" s="20"/>
      <c r="F30" s="20"/>
    </row>
    <row r="31" spans="1:6" ht="16" x14ac:dyDescent="0.5">
      <c r="B31" s="18"/>
      <c r="C31" s="18"/>
      <c r="D31" s="18"/>
      <c r="E31" s="18"/>
      <c r="F31" s="18"/>
    </row>
  </sheetData>
  <pageMargins left="0.7" right="0.7" top="0.75" bottom="0.75" header="0.3" footer="0.3"/>
  <pageSetup orientation="landscape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E95252-B6BD-4668-90C6-94D95B98CB66}">
  <sheetPr>
    <pageSetUpPr fitToPage="1"/>
  </sheetPr>
  <dimension ref="A1:AL100"/>
  <sheetViews>
    <sheetView workbookViewId="0">
      <selection activeCell="G29" sqref="G29"/>
    </sheetView>
  </sheetViews>
  <sheetFormatPr defaultRowHeight="14.5" x14ac:dyDescent="0.35"/>
  <cols>
    <col min="1" max="1" width="9.54296875" bestFit="1" customWidth="1"/>
    <col min="2" max="2" width="17.81640625" bestFit="1" customWidth="1"/>
    <col min="3" max="4" width="17" bestFit="1" customWidth="1"/>
    <col min="5" max="6" width="11.81640625" bestFit="1" customWidth="1"/>
    <col min="7" max="8" width="12" bestFit="1" customWidth="1"/>
    <col min="9" max="9" width="13.90625" bestFit="1" customWidth="1"/>
    <col min="10" max="10" width="12" bestFit="1" customWidth="1"/>
    <col min="11" max="11" width="12.54296875" customWidth="1"/>
    <col min="12" max="12" width="14.54296875" customWidth="1"/>
    <col min="13" max="13" width="12.453125" bestFit="1" customWidth="1"/>
    <col min="14" max="15" width="12.54296875" bestFit="1" customWidth="1"/>
    <col min="16" max="16" width="11.1796875" bestFit="1" customWidth="1"/>
    <col min="17" max="17" width="12.453125" bestFit="1" customWidth="1"/>
    <col min="18" max="18" width="13.54296875" bestFit="1" customWidth="1"/>
    <col min="19" max="25" width="11.1796875" bestFit="1" customWidth="1"/>
    <col min="26" max="26" width="10.453125" bestFit="1" customWidth="1"/>
    <col min="38" max="38" width="10.453125" bestFit="1" customWidth="1"/>
  </cols>
  <sheetData>
    <row r="1" spans="1:18" ht="14.5" customHeight="1" x14ac:dyDescent="0.35">
      <c r="A1" s="6" t="s">
        <v>0</v>
      </c>
      <c r="B1" s="5"/>
      <c r="C1" s="5"/>
      <c r="D1" s="5"/>
      <c r="E1" s="5"/>
      <c r="F1" s="5"/>
      <c r="G1" s="5"/>
      <c r="H1" s="5"/>
      <c r="I1" s="5"/>
      <c r="R1" s="92" t="s">
        <v>163</v>
      </c>
    </row>
    <row r="2" spans="1:18" ht="15.5" x14ac:dyDescent="0.35">
      <c r="A2" s="7" t="s">
        <v>1</v>
      </c>
      <c r="R2" s="92" t="s">
        <v>225</v>
      </c>
    </row>
    <row r="3" spans="1:18" ht="15.5" x14ac:dyDescent="0.35">
      <c r="A3" s="7" t="s">
        <v>165</v>
      </c>
    </row>
    <row r="4" spans="1:18" ht="15.5" x14ac:dyDescent="0.35">
      <c r="A4" s="7"/>
    </row>
    <row r="5" spans="1:18" ht="15.5" x14ac:dyDescent="0.35">
      <c r="A5" s="7"/>
    </row>
    <row r="6" spans="1:18" x14ac:dyDescent="0.35">
      <c r="A6" s="59" t="s">
        <v>28</v>
      </c>
    </row>
    <row r="7" spans="1:18" ht="15.5" x14ac:dyDescent="0.35">
      <c r="A7" s="7"/>
      <c r="B7" s="104" t="s">
        <v>29</v>
      </c>
      <c r="C7" s="104"/>
      <c r="D7" s="104"/>
      <c r="E7" s="104"/>
      <c r="F7" s="104"/>
      <c r="G7" s="104"/>
      <c r="H7" s="104"/>
      <c r="I7" s="104"/>
      <c r="J7" s="104"/>
      <c r="K7" s="2"/>
      <c r="L7" s="104" t="s">
        <v>30</v>
      </c>
      <c r="M7" s="104"/>
      <c r="N7" s="104"/>
    </row>
    <row r="8" spans="1:18" x14ac:dyDescent="0.35">
      <c r="C8" s="2" t="s">
        <v>31</v>
      </c>
      <c r="D8" s="2" t="s">
        <v>32</v>
      </c>
      <c r="F8" s="2" t="s">
        <v>31</v>
      </c>
      <c r="G8" s="2" t="s">
        <v>32</v>
      </c>
    </row>
    <row r="9" spans="1:18" ht="15" thickBot="1" x14ac:dyDescent="0.4">
      <c r="B9" s="2" t="s">
        <v>32</v>
      </c>
      <c r="C9" s="2" t="s">
        <v>32</v>
      </c>
      <c r="D9" s="2" t="s">
        <v>33</v>
      </c>
      <c r="E9" s="2" t="s">
        <v>34</v>
      </c>
      <c r="F9" s="2" t="s">
        <v>34</v>
      </c>
      <c r="G9" s="2" t="s">
        <v>35</v>
      </c>
      <c r="K9" s="2" t="s">
        <v>36</v>
      </c>
      <c r="N9" s="3" t="s">
        <v>37</v>
      </c>
    </row>
    <row r="10" spans="1:18" ht="15" thickBot="1" x14ac:dyDescent="0.4">
      <c r="B10" s="2" t="s">
        <v>33</v>
      </c>
      <c r="C10" s="2" t="s">
        <v>33</v>
      </c>
      <c r="D10" s="2" t="s">
        <v>38</v>
      </c>
      <c r="E10" s="2" t="s">
        <v>39</v>
      </c>
      <c r="F10" s="2" t="s">
        <v>39</v>
      </c>
      <c r="G10" s="2" t="s">
        <v>40</v>
      </c>
      <c r="I10" s="2" t="s">
        <v>31</v>
      </c>
      <c r="J10" s="2" t="s">
        <v>18</v>
      </c>
      <c r="K10" s="2" t="s">
        <v>18</v>
      </c>
      <c r="L10" s="2" t="s">
        <v>41</v>
      </c>
      <c r="M10" s="2" t="s">
        <v>42</v>
      </c>
      <c r="N10" s="2" t="s">
        <v>43</v>
      </c>
      <c r="P10" s="16">
        <v>7.7812216821069235E-3</v>
      </c>
      <c r="Q10" s="15" t="s">
        <v>44</v>
      </c>
    </row>
    <row r="11" spans="1:18" x14ac:dyDescent="0.35">
      <c r="B11" s="2" t="s">
        <v>38</v>
      </c>
      <c r="C11" s="2" t="s">
        <v>38</v>
      </c>
      <c r="D11" s="2" t="s">
        <v>45</v>
      </c>
      <c r="E11" s="2" t="s">
        <v>40</v>
      </c>
      <c r="F11" s="2" t="s">
        <v>40</v>
      </c>
      <c r="G11" s="2" t="s">
        <v>46</v>
      </c>
      <c r="H11" s="2" t="s">
        <v>18</v>
      </c>
      <c r="I11" s="2" t="s">
        <v>18</v>
      </c>
      <c r="J11" s="2" t="s">
        <v>46</v>
      </c>
      <c r="K11" s="2" t="s">
        <v>46</v>
      </c>
      <c r="L11" s="2" t="s">
        <v>46</v>
      </c>
      <c r="M11" s="2" t="s">
        <v>47</v>
      </c>
      <c r="N11" s="2" t="s">
        <v>47</v>
      </c>
      <c r="O11" s="2" t="s">
        <v>48</v>
      </c>
      <c r="P11" s="2" t="s">
        <v>49</v>
      </c>
      <c r="Q11" s="2" t="s">
        <v>50</v>
      </c>
      <c r="R11" s="2" t="s">
        <v>51</v>
      </c>
    </row>
    <row r="12" spans="1:18" x14ac:dyDescent="0.35">
      <c r="A12" s="63" t="s">
        <v>24</v>
      </c>
      <c r="B12" s="17" t="s">
        <v>52</v>
      </c>
      <c r="C12" s="17" t="s">
        <v>52</v>
      </c>
      <c r="D12" s="17" t="s">
        <v>53</v>
      </c>
      <c r="E12" s="17" t="s">
        <v>52</v>
      </c>
      <c r="F12" s="17" t="s">
        <v>52</v>
      </c>
      <c r="G12" s="17" t="s">
        <v>53</v>
      </c>
      <c r="H12" s="17" t="s">
        <v>52</v>
      </c>
      <c r="I12" s="17" t="s">
        <v>52</v>
      </c>
      <c r="J12" s="17" t="s">
        <v>53</v>
      </c>
      <c r="K12" s="17" t="s">
        <v>53</v>
      </c>
      <c r="L12" s="17" t="s">
        <v>53</v>
      </c>
      <c r="M12" s="17" t="s">
        <v>41</v>
      </c>
      <c r="N12" s="17" t="s">
        <v>41</v>
      </c>
      <c r="O12" s="17" t="s">
        <v>52</v>
      </c>
      <c r="P12" s="17" t="s">
        <v>54</v>
      </c>
      <c r="Q12" s="17" t="s">
        <v>53</v>
      </c>
      <c r="R12" s="17" t="s">
        <v>55</v>
      </c>
    </row>
    <row r="13" spans="1:18" x14ac:dyDescent="0.35">
      <c r="I13" s="10">
        <f>12133145.53+392407.76</f>
        <v>12525553.289999999</v>
      </c>
      <c r="K13" s="10">
        <v>973468.95</v>
      </c>
      <c r="N13" s="10">
        <v>3247290.4428079752</v>
      </c>
    </row>
    <row r="14" spans="1:18" x14ac:dyDescent="0.35">
      <c r="A14" s="8">
        <v>44743</v>
      </c>
      <c r="B14" s="11">
        <v>2111151.3899999997</v>
      </c>
      <c r="C14" s="12">
        <f>I13+B14</f>
        <v>14636704.68</v>
      </c>
      <c r="D14" s="11">
        <v>118702.47433333336</v>
      </c>
      <c r="E14" s="11">
        <v>-44456.76</v>
      </c>
      <c r="F14" s="12">
        <f>392407.76+E14</f>
        <v>347951</v>
      </c>
      <c r="G14" s="11">
        <v>28995.916666666668</v>
      </c>
      <c r="H14" s="12">
        <f>E14+B14</f>
        <v>2066694.6299999997</v>
      </c>
      <c r="I14" s="12">
        <f>+H14+I13</f>
        <v>14592247.919999998</v>
      </c>
      <c r="J14" s="12">
        <f>+G14+D14</f>
        <v>147698.39100000003</v>
      </c>
      <c r="K14" s="12">
        <f>+K13+J14</f>
        <v>1121167.341</v>
      </c>
      <c r="L14" s="12">
        <f>+H14</f>
        <v>2066694.6299999997</v>
      </c>
      <c r="M14" s="12">
        <f>(L14-J14)*0.2811</f>
        <v>539429.84278289997</v>
      </c>
      <c r="N14" s="12">
        <f>N13+M14</f>
        <v>3786720.285590875</v>
      </c>
      <c r="O14" s="12">
        <f>+I14-K14-N14</f>
        <v>9684360.293409124</v>
      </c>
      <c r="P14" s="12">
        <f>O14*$P$10</f>
        <v>75356.154292410443</v>
      </c>
      <c r="Q14" s="12">
        <v>598149.43999999994</v>
      </c>
      <c r="R14" s="10">
        <f>+Q14+P14+J14</f>
        <v>821203.98529241048</v>
      </c>
    </row>
    <row r="15" spans="1:18" x14ac:dyDescent="0.35">
      <c r="A15" s="8">
        <v>44774</v>
      </c>
      <c r="B15" s="10">
        <v>3329194.84</v>
      </c>
      <c r="C15" s="10">
        <f t="shared" ref="C15:C19" si="0">C14+B15</f>
        <v>17965899.52</v>
      </c>
      <c r="D15" s="10">
        <v>146445.76466666668</v>
      </c>
      <c r="E15" s="10">
        <v>-101099.04</v>
      </c>
      <c r="F15" s="10">
        <f t="shared" ref="F15:F19" si="1">F14+E15</f>
        <v>246851.96000000002</v>
      </c>
      <c r="G15" s="10">
        <v>20570.99666666667</v>
      </c>
      <c r="H15" s="10">
        <f t="shared" ref="H15:H19" si="2">E15+B15</f>
        <v>3228095.8</v>
      </c>
      <c r="I15" s="10">
        <f t="shared" ref="I15:I19" si="3">+H15+I14</f>
        <v>17820343.719999999</v>
      </c>
      <c r="J15" s="10">
        <f t="shared" ref="J15:J19" si="4">+G15+D15</f>
        <v>167016.76133333336</v>
      </c>
      <c r="K15" s="10">
        <f t="shared" ref="K15:K19" si="5">+K14+J15</f>
        <v>1288184.1023333333</v>
      </c>
      <c r="L15" s="10">
        <f t="shared" ref="L15:L19" si="6">+H15</f>
        <v>3228095.8</v>
      </c>
      <c r="M15" s="10">
        <f t="shared" ref="M15:M19" si="7">(L15-J15)*0.2811</f>
        <v>860469.31776919996</v>
      </c>
      <c r="N15" s="10">
        <f t="shared" ref="N15:N19" si="8">N14+M15</f>
        <v>4647189.6033600746</v>
      </c>
      <c r="O15" s="10">
        <f t="shared" ref="O15:O19" si="9">+I15-K15-N15</f>
        <v>11884970.01430659</v>
      </c>
      <c r="P15" s="10">
        <f t="shared" ref="P15:P19" si="10">O15*$P$10</f>
        <v>92479.586366513075</v>
      </c>
      <c r="Q15" s="10">
        <v>320243.27</v>
      </c>
      <c r="R15" s="10">
        <f t="shared" ref="R15:R19" si="11">+Q15+P15+J15</f>
        <v>579739.61769984639</v>
      </c>
    </row>
    <row r="16" spans="1:18" x14ac:dyDescent="0.35">
      <c r="A16" s="8">
        <v>44805</v>
      </c>
      <c r="B16" s="10">
        <v>2800440.23</v>
      </c>
      <c r="C16" s="10">
        <f t="shared" si="0"/>
        <v>20766339.75</v>
      </c>
      <c r="D16" s="10">
        <v>169782.76658333334</v>
      </c>
      <c r="E16" s="10">
        <v>-74985.33</v>
      </c>
      <c r="F16" s="10">
        <f t="shared" si="1"/>
        <v>171866.63</v>
      </c>
      <c r="G16" s="10">
        <v>14322.219166666668</v>
      </c>
      <c r="H16" s="10">
        <f t="shared" si="2"/>
        <v>2725454.9</v>
      </c>
      <c r="I16" s="10">
        <f t="shared" si="3"/>
        <v>20545798.619999997</v>
      </c>
      <c r="J16" s="10">
        <f t="shared" si="4"/>
        <v>184104.98575000002</v>
      </c>
      <c r="K16" s="10">
        <f t="shared" si="5"/>
        <v>1472289.0880833333</v>
      </c>
      <c r="L16" s="10">
        <f t="shared" si="6"/>
        <v>2725454.9</v>
      </c>
      <c r="M16" s="10">
        <f t="shared" si="7"/>
        <v>714373.460895675</v>
      </c>
      <c r="N16" s="10">
        <f t="shared" si="8"/>
        <v>5361563.0642557498</v>
      </c>
      <c r="O16" s="10">
        <f t="shared" si="9"/>
        <v>13711946.467660913</v>
      </c>
      <c r="P16" s="10">
        <f t="shared" si="10"/>
        <v>106695.69515805253</v>
      </c>
      <c r="Q16" s="10">
        <v>277816.08</v>
      </c>
      <c r="R16" s="10">
        <f t="shared" si="11"/>
        <v>568616.76090805256</v>
      </c>
    </row>
    <row r="17" spans="1:18" x14ac:dyDescent="0.35">
      <c r="A17" s="8">
        <v>44835</v>
      </c>
      <c r="B17" s="10">
        <v>3329560.03</v>
      </c>
      <c r="C17" s="10">
        <f t="shared" si="0"/>
        <v>24095899.780000001</v>
      </c>
      <c r="D17" s="10">
        <v>197529.1001666667</v>
      </c>
      <c r="E17" s="10">
        <v>182292.83</v>
      </c>
      <c r="F17" s="10">
        <f t="shared" si="1"/>
        <v>354159.45999999996</v>
      </c>
      <c r="G17" s="10">
        <v>29513.28833333333</v>
      </c>
      <c r="H17" s="10">
        <f t="shared" si="2"/>
        <v>3511852.86</v>
      </c>
      <c r="I17" s="10">
        <f t="shared" si="3"/>
        <v>24057651.479999997</v>
      </c>
      <c r="J17" s="10">
        <f t="shared" si="4"/>
        <v>227042.38850000003</v>
      </c>
      <c r="K17" s="10">
        <f t="shared" si="5"/>
        <v>1699331.4765833335</v>
      </c>
      <c r="L17" s="10">
        <f t="shared" si="6"/>
        <v>3511852.86</v>
      </c>
      <c r="M17" s="10">
        <f t="shared" si="7"/>
        <v>923360.22353865008</v>
      </c>
      <c r="N17" s="10">
        <f t="shared" si="8"/>
        <v>6284923.2877944</v>
      </c>
      <c r="O17" s="10">
        <f t="shared" si="9"/>
        <v>16073396.715622265</v>
      </c>
      <c r="P17" s="10">
        <f t="shared" si="10"/>
        <v>125070.66302870619</v>
      </c>
      <c r="Q17" s="10">
        <v>432597.39</v>
      </c>
      <c r="R17" s="10">
        <f t="shared" si="11"/>
        <v>784710.44152870623</v>
      </c>
    </row>
    <row r="18" spans="1:18" x14ac:dyDescent="0.35">
      <c r="A18" s="8">
        <v>44866</v>
      </c>
      <c r="B18" s="10">
        <v>3473351.1599999992</v>
      </c>
      <c r="C18" s="10">
        <f t="shared" si="0"/>
        <v>27569250.940000001</v>
      </c>
      <c r="D18" s="10">
        <v>226473.69316666669</v>
      </c>
      <c r="E18" s="10">
        <v>-81946.25</v>
      </c>
      <c r="F18" s="10">
        <f t="shared" si="1"/>
        <v>272213.20999999996</v>
      </c>
      <c r="G18" s="10">
        <v>22684.434166666662</v>
      </c>
      <c r="H18" s="10">
        <f t="shared" si="2"/>
        <v>3391404.9099999992</v>
      </c>
      <c r="I18" s="10">
        <f t="shared" si="3"/>
        <v>27449056.389999997</v>
      </c>
      <c r="J18" s="10">
        <f t="shared" si="4"/>
        <v>249158.12733333337</v>
      </c>
      <c r="K18" s="10">
        <f t="shared" si="5"/>
        <v>1948489.6039166669</v>
      </c>
      <c r="L18" s="10">
        <f t="shared" si="6"/>
        <v>3391404.9099999992</v>
      </c>
      <c r="M18" s="10">
        <f t="shared" si="7"/>
        <v>883285.5706075998</v>
      </c>
      <c r="N18" s="10">
        <f t="shared" si="8"/>
        <v>7168208.8584019998</v>
      </c>
      <c r="O18" s="10">
        <f t="shared" si="9"/>
        <v>18332357.927681331</v>
      </c>
      <c r="P18" s="10">
        <f t="shared" si="10"/>
        <v>142648.14099101871</v>
      </c>
      <c r="Q18" s="10">
        <v>407009.11000000004</v>
      </c>
      <c r="R18" s="10">
        <f t="shared" si="11"/>
        <v>798815.37832435209</v>
      </c>
    </row>
    <row r="19" spans="1:18" ht="16" x14ac:dyDescent="0.5">
      <c r="A19" s="8">
        <v>44896</v>
      </c>
      <c r="B19" s="52">
        <v>3958975.0799999991</v>
      </c>
      <c r="C19" s="10">
        <f t="shared" si="0"/>
        <v>31528226.02</v>
      </c>
      <c r="D19" s="20">
        <v>259465.1521666667</v>
      </c>
      <c r="E19" s="52">
        <v>-60270.85</v>
      </c>
      <c r="F19" s="10">
        <f t="shared" si="1"/>
        <v>211942.35999999996</v>
      </c>
      <c r="G19" s="20">
        <v>17661.863333333331</v>
      </c>
      <c r="H19" s="20">
        <f t="shared" si="2"/>
        <v>3898704.2299999991</v>
      </c>
      <c r="I19" s="10">
        <f t="shared" si="3"/>
        <v>31347760.619999997</v>
      </c>
      <c r="J19" s="20">
        <f t="shared" si="4"/>
        <v>277127.01550000004</v>
      </c>
      <c r="K19" s="10">
        <f t="shared" si="5"/>
        <v>2225616.6194166671</v>
      </c>
      <c r="L19" s="20">
        <f t="shared" si="6"/>
        <v>3898704.2299999991</v>
      </c>
      <c r="M19" s="20">
        <f t="shared" si="7"/>
        <v>1018025.3549959498</v>
      </c>
      <c r="N19" s="10">
        <f t="shared" si="8"/>
        <v>8186234.2133979499</v>
      </c>
      <c r="O19" s="10">
        <f t="shared" si="9"/>
        <v>20935909.787185378</v>
      </c>
      <c r="P19" s="20">
        <f t="shared" si="10"/>
        <v>162906.95517068141</v>
      </c>
      <c r="Q19" s="52">
        <v>347945.33999999997</v>
      </c>
      <c r="R19" s="20">
        <f t="shared" si="11"/>
        <v>787979.31067068141</v>
      </c>
    </row>
    <row r="20" spans="1:18" x14ac:dyDescent="0.35">
      <c r="M20" s="10"/>
    </row>
    <row r="21" spans="1:18" x14ac:dyDescent="0.35">
      <c r="A21" s="9" t="s">
        <v>18</v>
      </c>
      <c r="B21" s="12">
        <f>SUM(B14:B19)</f>
        <v>19002672.729999997</v>
      </c>
      <c r="D21" s="12">
        <f>SUM(D14:D19)</f>
        <v>1118398.9510833335</v>
      </c>
      <c r="E21" s="12">
        <f>SUM(E14:E19)</f>
        <v>-180465.40000000002</v>
      </c>
      <c r="G21" s="12">
        <f>SUM(G14:G19)</f>
        <v>133748.71833333332</v>
      </c>
      <c r="H21" s="12">
        <f>SUM(H14:H19)</f>
        <v>18822207.329999998</v>
      </c>
      <c r="I21" s="12"/>
      <c r="J21" s="12">
        <f>SUM(J14:J19)</f>
        <v>1252147.6694166667</v>
      </c>
      <c r="K21" s="12"/>
      <c r="L21" s="12">
        <f>SUM(L14:L19)</f>
        <v>18822207.329999998</v>
      </c>
      <c r="M21" s="12">
        <f>SUM(M14:M19)</f>
        <v>4938943.7705899747</v>
      </c>
      <c r="P21" s="12">
        <f>SUM(P14:P19)</f>
        <v>705157.19500738243</v>
      </c>
      <c r="Q21" s="12">
        <f>SUM(Q14:Q19)</f>
        <v>2383760.6300000004</v>
      </c>
      <c r="R21" s="12">
        <f>SUM(R14:R19)</f>
        <v>4341065.4944240497</v>
      </c>
    </row>
    <row r="23" spans="1:18" x14ac:dyDescent="0.35">
      <c r="A23" s="59" t="s">
        <v>166</v>
      </c>
    </row>
    <row r="24" spans="1:18" x14ac:dyDescent="0.35">
      <c r="B24" s="104" t="s">
        <v>29</v>
      </c>
      <c r="C24" s="104"/>
      <c r="D24" s="104"/>
      <c r="E24" s="104"/>
      <c r="F24" s="104"/>
      <c r="G24" s="104"/>
      <c r="H24" s="104"/>
      <c r="I24" s="104"/>
      <c r="J24" s="104"/>
      <c r="K24" s="2"/>
      <c r="L24" s="104" t="s">
        <v>30</v>
      </c>
      <c r="M24" s="104"/>
      <c r="N24" s="104"/>
    </row>
    <row r="25" spans="1:18" x14ac:dyDescent="0.35">
      <c r="C25" s="2" t="s">
        <v>31</v>
      </c>
      <c r="D25" s="2" t="s">
        <v>32</v>
      </c>
      <c r="F25" s="2" t="s">
        <v>31</v>
      </c>
      <c r="G25" s="2" t="s">
        <v>32</v>
      </c>
    </row>
    <row r="26" spans="1:18" ht="15" thickBot="1" x14ac:dyDescent="0.4">
      <c r="B26" s="2" t="s">
        <v>32</v>
      </c>
      <c r="C26" s="2" t="s">
        <v>32</v>
      </c>
      <c r="D26" s="2" t="s">
        <v>33</v>
      </c>
      <c r="E26" s="2" t="s">
        <v>34</v>
      </c>
      <c r="F26" s="2" t="s">
        <v>34</v>
      </c>
      <c r="G26" s="2" t="s">
        <v>35</v>
      </c>
      <c r="K26" s="2" t="s">
        <v>36</v>
      </c>
      <c r="N26" s="3" t="s">
        <v>37</v>
      </c>
    </row>
    <row r="27" spans="1:18" ht="15" thickBot="1" x14ac:dyDescent="0.4">
      <c r="B27" s="2" t="s">
        <v>33</v>
      </c>
      <c r="C27" s="2" t="s">
        <v>33</v>
      </c>
      <c r="D27" s="2" t="s">
        <v>38</v>
      </c>
      <c r="E27" s="2" t="s">
        <v>39</v>
      </c>
      <c r="F27" s="2" t="s">
        <v>39</v>
      </c>
      <c r="G27" s="2" t="s">
        <v>40</v>
      </c>
      <c r="I27" s="2" t="s">
        <v>31</v>
      </c>
      <c r="J27" s="2" t="s">
        <v>18</v>
      </c>
      <c r="K27" s="2" t="s">
        <v>18</v>
      </c>
      <c r="L27" s="2" t="s">
        <v>41</v>
      </c>
      <c r="M27" s="2" t="s">
        <v>42</v>
      </c>
      <c r="N27" s="2" t="s">
        <v>43</v>
      </c>
      <c r="P27" s="16">
        <v>7.7812216821069235E-3</v>
      </c>
      <c r="Q27" s="15" t="s">
        <v>44</v>
      </c>
    </row>
    <row r="28" spans="1:18" x14ac:dyDescent="0.35">
      <c r="B28" s="2" t="s">
        <v>38</v>
      </c>
      <c r="C28" s="2" t="s">
        <v>38</v>
      </c>
      <c r="D28" s="2" t="s">
        <v>45</v>
      </c>
      <c r="E28" s="2" t="s">
        <v>40</v>
      </c>
      <c r="F28" s="2" t="s">
        <v>40</v>
      </c>
      <c r="G28" s="2" t="s">
        <v>46</v>
      </c>
      <c r="H28" s="2" t="s">
        <v>18</v>
      </c>
      <c r="I28" s="2" t="s">
        <v>18</v>
      </c>
      <c r="J28" s="2" t="s">
        <v>46</v>
      </c>
      <c r="K28" s="2" t="s">
        <v>46</v>
      </c>
      <c r="L28" s="2" t="s">
        <v>46</v>
      </c>
      <c r="M28" s="2" t="s">
        <v>47</v>
      </c>
      <c r="N28" s="2" t="s">
        <v>47</v>
      </c>
      <c r="O28" s="2" t="s">
        <v>48</v>
      </c>
      <c r="P28" s="2" t="s">
        <v>49</v>
      </c>
      <c r="Q28" s="2" t="s">
        <v>50</v>
      </c>
      <c r="R28" s="2" t="s">
        <v>51</v>
      </c>
    </row>
    <row r="29" spans="1:18" x14ac:dyDescent="0.35">
      <c r="A29" s="96" t="s">
        <v>24</v>
      </c>
      <c r="B29" s="17" t="s">
        <v>52</v>
      </c>
      <c r="C29" s="17" t="s">
        <v>52</v>
      </c>
      <c r="D29" s="17" t="s">
        <v>53</v>
      </c>
      <c r="E29" s="17" t="s">
        <v>52</v>
      </c>
      <c r="F29" s="17" t="s">
        <v>52</v>
      </c>
      <c r="G29" s="17" t="s">
        <v>53</v>
      </c>
      <c r="H29" s="17" t="s">
        <v>52</v>
      </c>
      <c r="I29" s="17" t="s">
        <v>52</v>
      </c>
      <c r="J29" s="17" t="s">
        <v>53</v>
      </c>
      <c r="K29" s="17" t="s">
        <v>53</v>
      </c>
      <c r="L29" s="17" t="s">
        <v>53</v>
      </c>
      <c r="M29" s="17" t="s">
        <v>41</v>
      </c>
      <c r="N29" s="17" t="s">
        <v>41</v>
      </c>
      <c r="O29" s="17" t="s">
        <v>52</v>
      </c>
      <c r="P29" s="17" t="s">
        <v>54</v>
      </c>
      <c r="Q29" s="17" t="s">
        <v>53</v>
      </c>
      <c r="R29" s="17" t="s">
        <v>55</v>
      </c>
    </row>
    <row r="30" spans="1:18" x14ac:dyDescent="0.35">
      <c r="A30" s="97">
        <v>44927</v>
      </c>
      <c r="B30" s="86">
        <f>54155917/12</f>
        <v>4512993.083333333</v>
      </c>
      <c r="C30" s="98">
        <f>+C19+B30</f>
        <v>36041219.103333332</v>
      </c>
      <c r="D30" s="86">
        <f>+ROUND(C30/10/12,0)</f>
        <v>300343</v>
      </c>
      <c r="E30" s="98">
        <f>1839240/12</f>
        <v>153270</v>
      </c>
      <c r="F30" s="86">
        <f>F19+E30</f>
        <v>365212.36</v>
      </c>
      <c r="G30" s="98">
        <f>AL81</f>
        <v>-15398.973125000002</v>
      </c>
      <c r="H30" s="86">
        <f>E30+B30</f>
        <v>4666263.083333333</v>
      </c>
      <c r="I30" s="86">
        <f>+H30+I19</f>
        <v>36014023.703333333</v>
      </c>
      <c r="J30" s="86">
        <f>+G30+D30</f>
        <v>284944.02687499998</v>
      </c>
      <c r="K30" s="86">
        <f>+K19+J30</f>
        <v>2510560.6462916671</v>
      </c>
      <c r="L30" s="86">
        <f>+H30</f>
        <v>4666263.083333333</v>
      </c>
      <c r="M30" s="86">
        <f>(L30-J30)*0.2811</f>
        <v>1231588.7867704376</v>
      </c>
      <c r="N30" s="86">
        <f>N19+M30</f>
        <v>9417823.0001683868</v>
      </c>
      <c r="O30" s="86">
        <f>+I30-K30-N30</f>
        <v>24085640.056873281</v>
      </c>
      <c r="P30" s="86">
        <f>O30*$P$10</f>
        <v>187415.70463796539</v>
      </c>
      <c r="Q30" s="86">
        <f>8816677.99370391/12</f>
        <v>734723.16614199243</v>
      </c>
      <c r="R30" s="86">
        <f t="shared" ref="R30:R35" si="12">+Q30+P30+J30</f>
        <v>1207082.8976549578</v>
      </c>
    </row>
    <row r="31" spans="1:18" x14ac:dyDescent="0.35">
      <c r="A31" s="97">
        <v>44958</v>
      </c>
      <c r="B31" s="86">
        <f t="shared" ref="B31:B35" si="13">54155917/12</f>
        <v>4512993.083333333</v>
      </c>
      <c r="C31" s="98">
        <f>+C30+B31</f>
        <v>40554212.186666667</v>
      </c>
      <c r="D31" s="86">
        <f t="shared" ref="D31:D35" si="14">+ROUND(C31/10/12,0)</f>
        <v>337952</v>
      </c>
      <c r="E31" s="98">
        <f t="shared" ref="E31:E35" si="15">1839240/12</f>
        <v>153270</v>
      </c>
      <c r="F31" s="86">
        <f>F30+E31</f>
        <v>518482.36</v>
      </c>
      <c r="G31" s="98">
        <f t="shared" ref="G31:G35" si="16">AL82</f>
        <v>-2876.4762500000106</v>
      </c>
      <c r="H31" s="86">
        <f>E31+B31</f>
        <v>4666263.083333333</v>
      </c>
      <c r="I31" s="86">
        <f>+H31+I30</f>
        <v>40680286.786666669</v>
      </c>
      <c r="J31" s="86">
        <f>+G31+D31</f>
        <v>335075.52374999999</v>
      </c>
      <c r="K31" s="86">
        <f>+K30+J31</f>
        <v>2845636.1700416673</v>
      </c>
      <c r="L31" s="86">
        <f>+H31</f>
        <v>4666263.083333333</v>
      </c>
      <c r="M31" s="86">
        <f>(L31-J31)*0.2811</f>
        <v>1217496.8229988751</v>
      </c>
      <c r="N31" s="86">
        <f>N30+M31</f>
        <v>10635319.823167263</v>
      </c>
      <c r="O31" s="86">
        <f>+I31-K31-N31</f>
        <v>27199330.793457739</v>
      </c>
      <c r="P31" s="86">
        <f>O31*$P$10</f>
        <v>211644.02250885186</v>
      </c>
      <c r="Q31" s="86">
        <f t="shared" ref="Q31:Q35" si="17">8816677.99370391/12</f>
        <v>734723.16614199243</v>
      </c>
      <c r="R31" s="86">
        <f t="shared" si="12"/>
        <v>1281442.7124008443</v>
      </c>
    </row>
    <row r="32" spans="1:18" x14ac:dyDescent="0.35">
      <c r="A32" s="97">
        <v>44986</v>
      </c>
      <c r="B32" s="86">
        <f t="shared" si="13"/>
        <v>4512993.083333333</v>
      </c>
      <c r="C32" s="98">
        <f>+C31+B32</f>
        <v>45067205.270000003</v>
      </c>
      <c r="D32" s="86">
        <f t="shared" si="14"/>
        <v>375560</v>
      </c>
      <c r="E32" s="98">
        <f t="shared" si="15"/>
        <v>153270</v>
      </c>
      <c r="F32" s="86">
        <f t="shared" ref="F32:F35" si="18">F31+E32</f>
        <v>671752.36</v>
      </c>
      <c r="G32" s="98">
        <f t="shared" si="16"/>
        <v>16653.261458333334</v>
      </c>
      <c r="H32" s="86">
        <f>E32+B32</f>
        <v>4666263.083333333</v>
      </c>
      <c r="I32" s="86">
        <f>+H32+I31</f>
        <v>45346549.870000005</v>
      </c>
      <c r="J32" s="86">
        <f>+G32+D32</f>
        <v>392213.26145833335</v>
      </c>
      <c r="K32" s="86">
        <f>+K31+J32</f>
        <v>3237849.4315000009</v>
      </c>
      <c r="L32" s="86">
        <f>+H32</f>
        <v>4666263.083333333</v>
      </c>
      <c r="M32" s="86">
        <f>(L32-J32)*0.2811</f>
        <v>1201435.4049290624</v>
      </c>
      <c r="N32" s="86">
        <f>N31+M32</f>
        <v>11836755.228096325</v>
      </c>
      <c r="O32" s="86">
        <f>+I32-K32-N32</f>
        <v>30271945.210403677</v>
      </c>
      <c r="P32" s="86">
        <f>O32*$P$10</f>
        <v>235552.71643074593</v>
      </c>
      <c r="Q32" s="86">
        <f t="shared" si="17"/>
        <v>734723.16614199243</v>
      </c>
      <c r="R32" s="86">
        <f t="shared" si="12"/>
        <v>1362489.1440310716</v>
      </c>
    </row>
    <row r="33" spans="1:18" x14ac:dyDescent="0.35">
      <c r="A33" s="97">
        <v>45017</v>
      </c>
      <c r="B33" s="86">
        <f t="shared" si="13"/>
        <v>4512993.083333333</v>
      </c>
      <c r="C33" s="98">
        <f>+C32+B33</f>
        <v>49580198.353333339</v>
      </c>
      <c r="D33" s="86">
        <f t="shared" si="14"/>
        <v>413168</v>
      </c>
      <c r="E33" s="98">
        <f t="shared" si="15"/>
        <v>153270</v>
      </c>
      <c r="F33" s="86">
        <f t="shared" si="18"/>
        <v>825022.36</v>
      </c>
      <c r="G33" s="98">
        <f t="shared" si="16"/>
        <v>29247.249166666661</v>
      </c>
      <c r="H33" s="86">
        <f>E33+B33</f>
        <v>4666263.083333333</v>
      </c>
      <c r="I33" s="86">
        <f>+H33+I32</f>
        <v>50012812.953333341</v>
      </c>
      <c r="J33" s="86">
        <f>+G33+D33</f>
        <v>442415.24916666665</v>
      </c>
      <c r="K33" s="86">
        <f>+K32+J33</f>
        <v>3680264.6806666674</v>
      </c>
      <c r="L33" s="86">
        <f t="shared" ref="L33:L35" si="19">+H33</f>
        <v>4666263.083333333</v>
      </c>
      <c r="M33" s="86">
        <f>(L33-J33)*0.2811</f>
        <v>1187323.62618425</v>
      </c>
      <c r="N33" s="86">
        <f>N32+M33</f>
        <v>13024078.854280574</v>
      </c>
      <c r="O33" s="86">
        <f>+I33-K33-N33</f>
        <v>33308469.418386094</v>
      </c>
      <c r="P33" s="86">
        <f>O33*$P$10</f>
        <v>259180.58443614127</v>
      </c>
      <c r="Q33" s="86">
        <f t="shared" si="17"/>
        <v>734723.16614199243</v>
      </c>
      <c r="R33" s="86">
        <f t="shared" si="12"/>
        <v>1436318.9997448004</v>
      </c>
    </row>
    <row r="34" spans="1:18" x14ac:dyDescent="0.35">
      <c r="A34" s="97">
        <v>45047</v>
      </c>
      <c r="B34" s="86">
        <f t="shared" si="13"/>
        <v>4512993.083333333</v>
      </c>
      <c r="C34" s="98">
        <f>+C33+B34</f>
        <v>54093191.436666675</v>
      </c>
      <c r="D34" s="86">
        <f t="shared" si="14"/>
        <v>450777</v>
      </c>
      <c r="E34" s="98">
        <f t="shared" si="15"/>
        <v>153270</v>
      </c>
      <c r="F34" s="86">
        <f t="shared" si="18"/>
        <v>978292.36</v>
      </c>
      <c r="G34" s="98">
        <f t="shared" si="16"/>
        <v>45476.870208333326</v>
      </c>
      <c r="H34" s="86">
        <f t="shared" ref="H34:H35" si="20">E34+B34</f>
        <v>4666263.083333333</v>
      </c>
      <c r="I34" s="86">
        <f>+H34+I33</f>
        <v>54679076.036666676</v>
      </c>
      <c r="J34" s="86">
        <f t="shared" ref="J34:J35" si="21">+G34+D34</f>
        <v>496253.8702083333</v>
      </c>
      <c r="K34" s="86">
        <f>+K33+J34</f>
        <v>4176518.5508750007</v>
      </c>
      <c r="L34" s="86">
        <f t="shared" si="19"/>
        <v>4666263.083333333</v>
      </c>
      <c r="M34" s="86">
        <f t="shared" ref="M34:M35" si="22">(L34-J34)*0.2811</f>
        <v>1172189.5898094375</v>
      </c>
      <c r="N34" s="86">
        <f>N33+M34</f>
        <v>14196268.444090012</v>
      </c>
      <c r="O34" s="86">
        <f t="shared" ref="O34:O35" si="23">+I34-K34-N34</f>
        <v>36306289.04170166</v>
      </c>
      <c r="P34" s="86">
        <f t="shared" ref="P34:P35" si="24">O34*$P$10</f>
        <v>282507.28348812996</v>
      </c>
      <c r="Q34" s="86">
        <f t="shared" si="17"/>
        <v>734723.16614199243</v>
      </c>
      <c r="R34" s="86">
        <f t="shared" si="12"/>
        <v>1513484.3198384556</v>
      </c>
    </row>
    <row r="35" spans="1:18" ht="16" x14ac:dyDescent="0.5">
      <c r="A35" s="97">
        <v>45078</v>
      </c>
      <c r="B35" s="20">
        <f t="shared" si="13"/>
        <v>4512993.083333333</v>
      </c>
      <c r="C35" s="98">
        <f t="shared" ref="C35" si="25">+C34+B35</f>
        <v>58606184.520000011</v>
      </c>
      <c r="D35" s="20">
        <f t="shared" si="14"/>
        <v>488385</v>
      </c>
      <c r="E35" s="99">
        <f t="shared" si="15"/>
        <v>153270</v>
      </c>
      <c r="F35" s="86">
        <f t="shared" si="18"/>
        <v>1131562.3599999999</v>
      </c>
      <c r="G35" s="99">
        <f t="shared" si="16"/>
        <v>61596.197916666657</v>
      </c>
      <c r="H35" s="20">
        <f t="shared" si="20"/>
        <v>4666263.083333333</v>
      </c>
      <c r="I35" s="86">
        <f t="shared" ref="I35" si="26">+H35+I34</f>
        <v>59345339.120000012</v>
      </c>
      <c r="J35" s="20">
        <f t="shared" si="21"/>
        <v>549981.19791666663</v>
      </c>
      <c r="K35" s="86">
        <f t="shared" ref="K35" si="27">+K34+J35</f>
        <v>4726499.7487916676</v>
      </c>
      <c r="L35" s="20">
        <f t="shared" si="19"/>
        <v>4666263.083333333</v>
      </c>
      <c r="M35" s="20">
        <f t="shared" si="22"/>
        <v>1157086.8379906251</v>
      </c>
      <c r="N35" s="86">
        <f t="shared" ref="N35" si="28">N34+M35</f>
        <v>15353355.282080637</v>
      </c>
      <c r="O35" s="86">
        <f t="shared" si="23"/>
        <v>39265484.089127712</v>
      </c>
      <c r="P35" s="20">
        <f t="shared" si="24"/>
        <v>305533.43615274498</v>
      </c>
      <c r="Q35" s="20">
        <f t="shared" si="17"/>
        <v>734723.16614199243</v>
      </c>
      <c r="R35" s="20">
        <f t="shared" si="12"/>
        <v>1590237.800211404</v>
      </c>
    </row>
    <row r="36" spans="1:18" x14ac:dyDescent="0.35">
      <c r="A36" t="s">
        <v>18</v>
      </c>
      <c r="B36" s="12">
        <f>SUM(B21:B35)</f>
        <v>46080631.229999997</v>
      </c>
      <c r="D36" s="12">
        <f>SUM(D21:D35)</f>
        <v>3484583.9510833332</v>
      </c>
      <c r="E36" s="12">
        <f>SUM(E21:E35)</f>
        <v>739154.6</v>
      </c>
      <c r="G36" s="12">
        <f>SUM(G21:G35)</f>
        <v>268446.84770833328</v>
      </c>
      <c r="H36" s="12">
        <f>SUM(H21:H35)</f>
        <v>46819785.829999998</v>
      </c>
      <c r="J36" s="12">
        <f>SUM(J21:J35)</f>
        <v>3753030.798791666</v>
      </c>
      <c r="L36" s="12">
        <f>SUM(L21:L35)</f>
        <v>46819785.829999998</v>
      </c>
      <c r="M36" s="12">
        <f>SUM(M21:M35)</f>
        <v>12106064.839272661</v>
      </c>
      <c r="P36" s="12">
        <f>SUM(P21:P35)</f>
        <v>2186990.9504431835</v>
      </c>
      <c r="Q36" s="12">
        <f>SUM(Q21:Q35)</f>
        <v>6792099.6268519554</v>
      </c>
      <c r="R36" s="100">
        <f>SUM(R21:R35)</f>
        <v>12732121.368305583</v>
      </c>
    </row>
    <row r="58" spans="1:38" x14ac:dyDescent="0.35">
      <c r="A58" t="s">
        <v>57</v>
      </c>
    </row>
    <row r="59" spans="1:38" x14ac:dyDescent="0.35">
      <c r="R59" s="8"/>
    </row>
    <row r="60" spans="1:38" x14ac:dyDescent="0.35">
      <c r="B60" s="8">
        <v>44378</v>
      </c>
      <c r="C60" s="8">
        <v>44409</v>
      </c>
      <c r="D60" s="8">
        <v>44440</v>
      </c>
      <c r="E60" s="8">
        <v>44470</v>
      </c>
      <c r="F60" s="8">
        <v>44501</v>
      </c>
      <c r="G60" s="8">
        <v>44531</v>
      </c>
      <c r="H60" s="8">
        <v>44562</v>
      </c>
      <c r="I60" s="8">
        <v>44593</v>
      </c>
      <c r="J60" s="8">
        <v>44621</v>
      </c>
      <c r="K60" s="8">
        <v>44652</v>
      </c>
      <c r="L60" s="8">
        <v>44682</v>
      </c>
      <c r="M60" s="8">
        <v>44713</v>
      </c>
      <c r="N60" s="8">
        <v>44743</v>
      </c>
      <c r="O60" s="8">
        <v>44774</v>
      </c>
      <c r="P60" s="8">
        <v>44805</v>
      </c>
      <c r="Q60" s="8">
        <v>44835</v>
      </c>
      <c r="R60" s="8">
        <v>44866</v>
      </c>
      <c r="S60" s="8">
        <v>44896</v>
      </c>
      <c r="T60" s="8">
        <v>44927</v>
      </c>
      <c r="U60" s="8">
        <v>44958</v>
      </c>
      <c r="V60" s="8">
        <v>44986</v>
      </c>
      <c r="W60" s="8">
        <v>45017</v>
      </c>
      <c r="X60" s="8">
        <v>45047</v>
      </c>
      <c r="Y60" s="8">
        <v>45078</v>
      </c>
      <c r="Z60" s="8">
        <v>45108</v>
      </c>
      <c r="AA60" s="8">
        <v>45139</v>
      </c>
      <c r="AB60" s="8">
        <v>45170</v>
      </c>
      <c r="AC60" s="8">
        <v>45200</v>
      </c>
      <c r="AD60" s="8">
        <v>45231</v>
      </c>
      <c r="AE60" s="8">
        <v>45261</v>
      </c>
      <c r="AF60" s="8">
        <v>45292</v>
      </c>
      <c r="AG60" s="8">
        <v>45323</v>
      </c>
      <c r="AH60" s="8">
        <v>45352</v>
      </c>
      <c r="AI60" s="8">
        <v>45383</v>
      </c>
      <c r="AJ60" s="8">
        <v>45413</v>
      </c>
      <c r="AK60" s="8">
        <v>45444</v>
      </c>
      <c r="AL60" t="s">
        <v>18</v>
      </c>
    </row>
    <row r="61" spans="1:38" x14ac:dyDescent="0.35">
      <c r="A61" t="s">
        <v>52</v>
      </c>
      <c r="B61" s="10">
        <v>0</v>
      </c>
      <c r="C61" s="10">
        <v>26000</v>
      </c>
      <c r="D61" s="10">
        <v>512000</v>
      </c>
      <c r="E61" s="10">
        <v>3000</v>
      </c>
      <c r="F61" s="10">
        <v>3000</v>
      </c>
      <c r="G61" s="10">
        <v>3000</v>
      </c>
      <c r="H61" s="10">
        <v>3000</v>
      </c>
      <c r="I61" s="10">
        <v>3000</v>
      </c>
      <c r="J61" s="10">
        <v>-81086.89</v>
      </c>
      <c r="K61" s="10">
        <v>2142.11</v>
      </c>
      <c r="L61" s="10">
        <v>-41485.49</v>
      </c>
      <c r="M61" s="10">
        <v>-40161.97</v>
      </c>
      <c r="N61" s="10">
        <f>E14</f>
        <v>-44456.76</v>
      </c>
      <c r="O61" s="10">
        <f>E15</f>
        <v>-101099.04</v>
      </c>
      <c r="P61" s="10">
        <f>E16</f>
        <v>-74985.33</v>
      </c>
      <c r="Q61" s="10">
        <f>E17</f>
        <v>182292.83</v>
      </c>
      <c r="R61" s="10">
        <f>E18</f>
        <v>-81946.25</v>
      </c>
      <c r="S61" s="10">
        <f>E19</f>
        <v>-60270.85</v>
      </c>
      <c r="T61" s="10">
        <f t="shared" ref="T61:Y61" si="29">1839239.55/12</f>
        <v>153269.96249999999</v>
      </c>
      <c r="U61" s="10">
        <f t="shared" si="29"/>
        <v>153269.96249999999</v>
      </c>
      <c r="V61" s="10">
        <f t="shared" si="29"/>
        <v>153269.96249999999</v>
      </c>
      <c r="W61" s="10">
        <f t="shared" si="29"/>
        <v>153269.96249999999</v>
      </c>
      <c r="X61" s="10">
        <f t="shared" si="29"/>
        <v>153269.96249999999</v>
      </c>
      <c r="Y61" s="10">
        <f t="shared" si="29"/>
        <v>153269.96249999999</v>
      </c>
      <c r="AL61" s="60">
        <f>SUM(B61:AK61)</f>
        <v>1131562.135</v>
      </c>
    </row>
    <row r="62" spans="1:38" x14ac:dyDescent="0.35">
      <c r="AL62" s="60">
        <f>SUM(B62:AK62)</f>
        <v>0</v>
      </c>
    </row>
    <row r="63" spans="1:38" x14ac:dyDescent="0.35">
      <c r="A63" s="8">
        <v>44378</v>
      </c>
      <c r="B63" s="60">
        <f t="shared" ref="B63:B74" si="30">B$61/12</f>
        <v>0</v>
      </c>
      <c r="AL63" s="60">
        <f t="shared" ref="AL63:AL98" si="31">SUM(B63:AK63)</f>
        <v>0</v>
      </c>
    </row>
    <row r="64" spans="1:38" x14ac:dyDescent="0.35">
      <c r="A64" s="8">
        <v>44409</v>
      </c>
      <c r="B64" s="60">
        <f t="shared" si="30"/>
        <v>0</v>
      </c>
      <c r="C64" s="60">
        <f t="shared" ref="C64:C75" si="32">C$61/12</f>
        <v>2166.6666666666665</v>
      </c>
      <c r="AL64" s="60">
        <f t="shared" si="31"/>
        <v>2166.6666666666665</v>
      </c>
    </row>
    <row r="65" spans="1:38" x14ac:dyDescent="0.35">
      <c r="A65" s="8">
        <v>44440</v>
      </c>
      <c r="B65" s="60">
        <f t="shared" si="30"/>
        <v>0</v>
      </c>
      <c r="C65" s="60">
        <f t="shared" si="32"/>
        <v>2166.6666666666665</v>
      </c>
      <c r="D65" s="60">
        <f t="shared" ref="D65:D76" si="33">D$61/12</f>
        <v>42666.666666666664</v>
      </c>
      <c r="AL65" s="60">
        <f t="shared" si="31"/>
        <v>44833.333333333328</v>
      </c>
    </row>
    <row r="66" spans="1:38" x14ac:dyDescent="0.35">
      <c r="A66" s="8">
        <v>44470</v>
      </c>
      <c r="B66" s="60">
        <f t="shared" si="30"/>
        <v>0</v>
      </c>
      <c r="C66" s="60">
        <f t="shared" si="32"/>
        <v>2166.6666666666665</v>
      </c>
      <c r="D66" s="60">
        <f t="shared" si="33"/>
        <v>42666.666666666664</v>
      </c>
      <c r="E66" s="60">
        <f t="shared" ref="E66:E77" si="34">E$61/12</f>
        <v>250</v>
      </c>
      <c r="AL66" s="60">
        <f t="shared" si="31"/>
        <v>45083.333333333328</v>
      </c>
    </row>
    <row r="67" spans="1:38" x14ac:dyDescent="0.35">
      <c r="A67" s="8">
        <v>44501</v>
      </c>
      <c r="B67" s="60">
        <f t="shared" si="30"/>
        <v>0</v>
      </c>
      <c r="C67" s="60">
        <f t="shared" si="32"/>
        <v>2166.6666666666665</v>
      </c>
      <c r="D67" s="60">
        <f t="shared" si="33"/>
        <v>42666.666666666664</v>
      </c>
      <c r="E67" s="60">
        <f t="shared" si="34"/>
        <v>250</v>
      </c>
      <c r="F67" s="60">
        <f t="shared" ref="F67:F78" si="35">F$61/12</f>
        <v>250</v>
      </c>
      <c r="AL67" s="60">
        <f t="shared" si="31"/>
        <v>45333.333333333328</v>
      </c>
    </row>
    <row r="68" spans="1:38" x14ac:dyDescent="0.35">
      <c r="A68" s="8">
        <v>44531</v>
      </c>
      <c r="B68" s="60">
        <f t="shared" si="30"/>
        <v>0</v>
      </c>
      <c r="C68" s="60">
        <f t="shared" si="32"/>
        <v>2166.6666666666665</v>
      </c>
      <c r="D68" s="60">
        <f t="shared" si="33"/>
        <v>42666.666666666664</v>
      </c>
      <c r="E68" s="60">
        <f t="shared" si="34"/>
        <v>250</v>
      </c>
      <c r="F68" s="60">
        <f t="shared" si="35"/>
        <v>250</v>
      </c>
      <c r="G68" s="60">
        <f t="shared" ref="G68:G79" si="36">G$61/12</f>
        <v>250</v>
      </c>
      <c r="AL68" s="60">
        <f t="shared" si="31"/>
        <v>45583.333333333328</v>
      </c>
    </row>
    <row r="69" spans="1:38" x14ac:dyDescent="0.35">
      <c r="A69" s="8">
        <v>44562</v>
      </c>
      <c r="B69" s="60">
        <f t="shared" si="30"/>
        <v>0</v>
      </c>
      <c r="C69" s="60">
        <f t="shared" si="32"/>
        <v>2166.6666666666665</v>
      </c>
      <c r="D69" s="60">
        <f t="shared" si="33"/>
        <v>42666.666666666664</v>
      </c>
      <c r="E69" s="60">
        <f t="shared" si="34"/>
        <v>250</v>
      </c>
      <c r="F69" s="60">
        <f t="shared" si="35"/>
        <v>250</v>
      </c>
      <c r="G69" s="60">
        <f t="shared" si="36"/>
        <v>250</v>
      </c>
      <c r="H69" s="60">
        <f t="shared" ref="H69:H80" si="37">H$61/12</f>
        <v>250</v>
      </c>
      <c r="AL69" s="60">
        <f t="shared" si="31"/>
        <v>45833.333333333328</v>
      </c>
    </row>
    <row r="70" spans="1:38" x14ac:dyDescent="0.35">
      <c r="A70" s="8">
        <v>44593</v>
      </c>
      <c r="B70" s="60">
        <f t="shared" si="30"/>
        <v>0</v>
      </c>
      <c r="C70" s="60">
        <f t="shared" si="32"/>
        <v>2166.6666666666665</v>
      </c>
      <c r="D70" s="60">
        <f t="shared" si="33"/>
        <v>42666.666666666664</v>
      </c>
      <c r="E70" s="60">
        <f t="shared" si="34"/>
        <v>250</v>
      </c>
      <c r="F70" s="60">
        <f t="shared" si="35"/>
        <v>250</v>
      </c>
      <c r="G70" s="60">
        <f t="shared" si="36"/>
        <v>250</v>
      </c>
      <c r="H70" s="60">
        <f t="shared" si="37"/>
        <v>250</v>
      </c>
      <c r="I70" s="60">
        <f t="shared" ref="I70:I81" si="38">I$61/12</f>
        <v>250</v>
      </c>
      <c r="AL70" s="60">
        <f t="shared" si="31"/>
        <v>46083.333333333328</v>
      </c>
    </row>
    <row r="71" spans="1:38" x14ac:dyDescent="0.35">
      <c r="A71" s="8">
        <v>44621</v>
      </c>
      <c r="B71" s="60">
        <f t="shared" si="30"/>
        <v>0</v>
      </c>
      <c r="C71" s="60">
        <f t="shared" si="32"/>
        <v>2166.6666666666665</v>
      </c>
      <c r="D71" s="60">
        <f t="shared" si="33"/>
        <v>42666.666666666664</v>
      </c>
      <c r="E71" s="60">
        <f t="shared" si="34"/>
        <v>250</v>
      </c>
      <c r="F71" s="60">
        <f t="shared" si="35"/>
        <v>250</v>
      </c>
      <c r="G71" s="60">
        <f t="shared" si="36"/>
        <v>250</v>
      </c>
      <c r="H71" s="60">
        <f t="shared" si="37"/>
        <v>250</v>
      </c>
      <c r="I71" s="60">
        <f t="shared" si="38"/>
        <v>250</v>
      </c>
      <c r="J71" s="60">
        <f t="shared" ref="J71:J82" si="39">J$61/12</f>
        <v>-6757.2408333333333</v>
      </c>
      <c r="AL71" s="60">
        <f t="shared" si="31"/>
        <v>39326.092499999999</v>
      </c>
    </row>
    <row r="72" spans="1:38" x14ac:dyDescent="0.35">
      <c r="A72" s="8">
        <v>44652</v>
      </c>
      <c r="B72" s="60">
        <f t="shared" si="30"/>
        <v>0</v>
      </c>
      <c r="C72" s="60">
        <f t="shared" si="32"/>
        <v>2166.6666666666665</v>
      </c>
      <c r="D72" s="60">
        <f t="shared" si="33"/>
        <v>42666.666666666664</v>
      </c>
      <c r="E72" s="60">
        <f t="shared" si="34"/>
        <v>250</v>
      </c>
      <c r="F72" s="60">
        <f t="shared" si="35"/>
        <v>250</v>
      </c>
      <c r="G72" s="60">
        <f t="shared" si="36"/>
        <v>250</v>
      </c>
      <c r="H72" s="60">
        <f t="shared" si="37"/>
        <v>250</v>
      </c>
      <c r="I72" s="60">
        <f t="shared" si="38"/>
        <v>250</v>
      </c>
      <c r="J72" s="60">
        <f t="shared" si="39"/>
        <v>-6757.2408333333333</v>
      </c>
      <c r="K72" s="60">
        <f t="shared" ref="K72:K83" si="40">K$61/12</f>
        <v>178.50916666666669</v>
      </c>
      <c r="AL72" s="60">
        <f t="shared" si="31"/>
        <v>39504.601666666662</v>
      </c>
    </row>
    <row r="73" spans="1:38" x14ac:dyDescent="0.35">
      <c r="A73" s="8">
        <v>44682</v>
      </c>
      <c r="B73" s="60">
        <f t="shared" si="30"/>
        <v>0</v>
      </c>
      <c r="C73" s="60">
        <f t="shared" si="32"/>
        <v>2166.6666666666665</v>
      </c>
      <c r="D73" s="60">
        <f t="shared" si="33"/>
        <v>42666.666666666664</v>
      </c>
      <c r="E73" s="60">
        <f t="shared" si="34"/>
        <v>250</v>
      </c>
      <c r="F73" s="60">
        <f t="shared" si="35"/>
        <v>250</v>
      </c>
      <c r="G73" s="60">
        <f t="shared" si="36"/>
        <v>250</v>
      </c>
      <c r="H73" s="60">
        <f t="shared" si="37"/>
        <v>250</v>
      </c>
      <c r="I73" s="60">
        <f t="shared" si="38"/>
        <v>250</v>
      </c>
      <c r="J73" s="60">
        <f t="shared" si="39"/>
        <v>-6757.2408333333333</v>
      </c>
      <c r="K73" s="60">
        <f t="shared" si="40"/>
        <v>178.50916666666669</v>
      </c>
      <c r="L73" s="60">
        <f t="shared" ref="L73:L84" si="41">L$61/12</f>
        <v>-3457.1241666666665</v>
      </c>
      <c r="AL73" s="60">
        <f t="shared" si="31"/>
        <v>36047.477499999994</v>
      </c>
    </row>
    <row r="74" spans="1:38" x14ac:dyDescent="0.35">
      <c r="A74" s="8">
        <v>44713</v>
      </c>
      <c r="B74" s="60">
        <f t="shared" si="30"/>
        <v>0</v>
      </c>
      <c r="C74" s="60">
        <f t="shared" si="32"/>
        <v>2166.6666666666665</v>
      </c>
      <c r="D74" s="60">
        <f t="shared" si="33"/>
        <v>42666.666666666664</v>
      </c>
      <c r="E74" s="60">
        <f t="shared" si="34"/>
        <v>250</v>
      </c>
      <c r="F74" s="60">
        <f t="shared" si="35"/>
        <v>250</v>
      </c>
      <c r="G74" s="60">
        <f t="shared" si="36"/>
        <v>250</v>
      </c>
      <c r="H74" s="60">
        <f t="shared" si="37"/>
        <v>250</v>
      </c>
      <c r="I74" s="60">
        <f t="shared" si="38"/>
        <v>250</v>
      </c>
      <c r="J74" s="60">
        <f t="shared" si="39"/>
        <v>-6757.2408333333333</v>
      </c>
      <c r="K74" s="60">
        <f t="shared" si="40"/>
        <v>178.50916666666669</v>
      </c>
      <c r="L74" s="60">
        <f t="shared" si="41"/>
        <v>-3457.1241666666665</v>
      </c>
      <c r="M74" s="60">
        <f>M$61/12</f>
        <v>-3346.8308333333334</v>
      </c>
      <c r="AL74" s="60">
        <f t="shared" si="31"/>
        <v>32700.64666666666</v>
      </c>
    </row>
    <row r="75" spans="1:38" x14ac:dyDescent="0.35">
      <c r="A75" s="8">
        <v>44743</v>
      </c>
      <c r="C75" s="60">
        <f t="shared" si="32"/>
        <v>2166.6666666666665</v>
      </c>
      <c r="D75" s="60">
        <f t="shared" si="33"/>
        <v>42666.666666666664</v>
      </c>
      <c r="E75" s="60">
        <f t="shared" si="34"/>
        <v>250</v>
      </c>
      <c r="F75" s="60">
        <f t="shared" si="35"/>
        <v>250</v>
      </c>
      <c r="G75" s="60">
        <f t="shared" si="36"/>
        <v>250</v>
      </c>
      <c r="H75" s="60">
        <f t="shared" si="37"/>
        <v>250</v>
      </c>
      <c r="I75" s="60">
        <f t="shared" si="38"/>
        <v>250</v>
      </c>
      <c r="J75" s="60">
        <f t="shared" si="39"/>
        <v>-6757.2408333333333</v>
      </c>
      <c r="K75" s="60">
        <f t="shared" si="40"/>
        <v>178.50916666666669</v>
      </c>
      <c r="L75" s="60">
        <f t="shared" si="41"/>
        <v>-3457.1241666666665</v>
      </c>
      <c r="M75" s="60">
        <f t="shared" ref="M75:M85" si="42">M$61/12</f>
        <v>-3346.8308333333334</v>
      </c>
      <c r="N75" s="60">
        <f t="shared" ref="N75:N86" si="43">N$61/12</f>
        <v>-3704.73</v>
      </c>
      <c r="AL75" s="60">
        <f t="shared" si="31"/>
        <v>28995.916666666661</v>
      </c>
    </row>
    <row r="76" spans="1:38" x14ac:dyDescent="0.35">
      <c r="A76" s="8">
        <v>44774</v>
      </c>
      <c r="D76" s="60">
        <f t="shared" si="33"/>
        <v>42666.666666666664</v>
      </c>
      <c r="E76" s="60">
        <f t="shared" si="34"/>
        <v>250</v>
      </c>
      <c r="F76" s="60">
        <f t="shared" si="35"/>
        <v>250</v>
      </c>
      <c r="G76" s="60">
        <f t="shared" si="36"/>
        <v>250</v>
      </c>
      <c r="H76" s="60">
        <f t="shared" si="37"/>
        <v>250</v>
      </c>
      <c r="I76" s="60">
        <f t="shared" si="38"/>
        <v>250</v>
      </c>
      <c r="J76" s="60">
        <f t="shared" si="39"/>
        <v>-6757.2408333333333</v>
      </c>
      <c r="K76" s="60">
        <f t="shared" si="40"/>
        <v>178.50916666666669</v>
      </c>
      <c r="L76" s="60">
        <f t="shared" si="41"/>
        <v>-3457.1241666666665</v>
      </c>
      <c r="M76" s="60">
        <f t="shared" si="42"/>
        <v>-3346.8308333333334</v>
      </c>
      <c r="N76" s="60">
        <f t="shared" si="43"/>
        <v>-3704.73</v>
      </c>
      <c r="O76" s="60">
        <f t="shared" ref="O76:O87" si="44">O$61/12</f>
        <v>-8424.92</v>
      </c>
      <c r="AL76" s="60">
        <f t="shared" si="31"/>
        <v>18404.329999999987</v>
      </c>
    </row>
    <row r="77" spans="1:38" x14ac:dyDescent="0.35">
      <c r="A77" s="8">
        <v>44805</v>
      </c>
      <c r="E77" s="60">
        <f t="shared" si="34"/>
        <v>250</v>
      </c>
      <c r="F77" s="60">
        <f t="shared" si="35"/>
        <v>250</v>
      </c>
      <c r="G77" s="60">
        <f t="shared" si="36"/>
        <v>250</v>
      </c>
      <c r="H77" s="60">
        <f t="shared" si="37"/>
        <v>250</v>
      </c>
      <c r="I77" s="60">
        <f t="shared" si="38"/>
        <v>250</v>
      </c>
      <c r="J77" s="60">
        <f t="shared" si="39"/>
        <v>-6757.2408333333333</v>
      </c>
      <c r="K77" s="60">
        <f t="shared" si="40"/>
        <v>178.50916666666669</v>
      </c>
      <c r="L77" s="60">
        <f t="shared" si="41"/>
        <v>-3457.1241666666665</v>
      </c>
      <c r="M77" s="60">
        <f t="shared" si="42"/>
        <v>-3346.8308333333334</v>
      </c>
      <c r="N77" s="60">
        <f t="shared" si="43"/>
        <v>-3704.73</v>
      </c>
      <c r="O77" s="60">
        <f t="shared" si="44"/>
        <v>-8424.92</v>
      </c>
      <c r="P77" s="60">
        <f t="shared" ref="P77:P88" si="45">P$61/12</f>
        <v>-6248.7775000000001</v>
      </c>
      <c r="AL77" s="60">
        <f t="shared" si="31"/>
        <v>-30511.114166666666</v>
      </c>
    </row>
    <row r="78" spans="1:38" x14ac:dyDescent="0.35">
      <c r="A78" s="8">
        <v>44835</v>
      </c>
      <c r="F78" s="60">
        <f t="shared" si="35"/>
        <v>250</v>
      </c>
      <c r="G78" s="60">
        <f t="shared" si="36"/>
        <v>250</v>
      </c>
      <c r="H78" s="60">
        <f t="shared" si="37"/>
        <v>250</v>
      </c>
      <c r="I78" s="60">
        <f t="shared" si="38"/>
        <v>250</v>
      </c>
      <c r="J78" s="60">
        <f t="shared" si="39"/>
        <v>-6757.2408333333333</v>
      </c>
      <c r="K78" s="60">
        <f t="shared" si="40"/>
        <v>178.50916666666669</v>
      </c>
      <c r="L78" s="60">
        <f t="shared" si="41"/>
        <v>-3457.1241666666665</v>
      </c>
      <c r="M78" s="60">
        <f t="shared" si="42"/>
        <v>-3346.8308333333334</v>
      </c>
      <c r="N78" s="60">
        <f t="shared" si="43"/>
        <v>-3704.73</v>
      </c>
      <c r="O78" s="60">
        <f t="shared" si="44"/>
        <v>-8424.92</v>
      </c>
      <c r="P78" s="60">
        <f t="shared" si="45"/>
        <v>-6248.7775000000001</v>
      </c>
      <c r="Q78" s="60">
        <f>Q$61/12</f>
        <v>15191.069166666666</v>
      </c>
      <c r="R78" s="60"/>
      <c r="AL78" s="60">
        <f t="shared" si="31"/>
        <v>-15570.045</v>
      </c>
    </row>
    <row r="79" spans="1:38" x14ac:dyDescent="0.35">
      <c r="A79" s="8">
        <v>44866</v>
      </c>
      <c r="G79" s="60">
        <f t="shared" si="36"/>
        <v>250</v>
      </c>
      <c r="H79" s="60">
        <f t="shared" si="37"/>
        <v>250</v>
      </c>
      <c r="I79" s="60">
        <f t="shared" si="38"/>
        <v>250</v>
      </c>
      <c r="J79" s="60">
        <f t="shared" si="39"/>
        <v>-6757.2408333333333</v>
      </c>
      <c r="K79" s="60">
        <f t="shared" si="40"/>
        <v>178.50916666666669</v>
      </c>
      <c r="L79" s="60">
        <f t="shared" si="41"/>
        <v>-3457.1241666666665</v>
      </c>
      <c r="M79" s="60">
        <f t="shared" si="42"/>
        <v>-3346.8308333333334</v>
      </c>
      <c r="N79" s="60">
        <f t="shared" si="43"/>
        <v>-3704.73</v>
      </c>
      <c r="O79" s="60">
        <f t="shared" si="44"/>
        <v>-8424.92</v>
      </c>
      <c r="P79" s="60">
        <f t="shared" si="45"/>
        <v>-6248.7775000000001</v>
      </c>
      <c r="Q79" s="60">
        <f t="shared" ref="Q79:R90" si="46">Q$61/12</f>
        <v>15191.069166666666</v>
      </c>
      <c r="R79" s="60">
        <f>R$61/12</f>
        <v>-6828.854166666667</v>
      </c>
      <c r="AL79" s="60">
        <f t="shared" si="31"/>
        <v>-22648.899166666666</v>
      </c>
    </row>
    <row r="80" spans="1:38" x14ac:dyDescent="0.35">
      <c r="A80" s="8">
        <v>44896</v>
      </c>
      <c r="H80" s="60">
        <f t="shared" si="37"/>
        <v>250</v>
      </c>
      <c r="I80" s="60">
        <f t="shared" si="38"/>
        <v>250</v>
      </c>
      <c r="J80" s="60">
        <f t="shared" si="39"/>
        <v>-6757.2408333333333</v>
      </c>
      <c r="K80" s="60">
        <f t="shared" si="40"/>
        <v>178.50916666666669</v>
      </c>
      <c r="L80" s="60">
        <f t="shared" si="41"/>
        <v>-3457.1241666666665</v>
      </c>
      <c r="M80" s="60">
        <f t="shared" si="42"/>
        <v>-3346.8308333333334</v>
      </c>
      <c r="N80" s="60">
        <f t="shared" si="43"/>
        <v>-3704.73</v>
      </c>
      <c r="O80" s="60">
        <f t="shared" si="44"/>
        <v>-8424.92</v>
      </c>
      <c r="P80" s="60">
        <f t="shared" si="45"/>
        <v>-6248.7775000000001</v>
      </c>
      <c r="Q80" s="60">
        <f t="shared" si="46"/>
        <v>15191.069166666666</v>
      </c>
      <c r="R80" s="60">
        <f t="shared" si="46"/>
        <v>-6828.854166666667</v>
      </c>
      <c r="S80" s="60">
        <f t="shared" ref="S80:Y95" si="47">S$61/12</f>
        <v>-5022.5708333333332</v>
      </c>
      <c r="AL80" s="60">
        <f t="shared" si="31"/>
        <v>-27921.47</v>
      </c>
    </row>
    <row r="81" spans="1:38" x14ac:dyDescent="0.35">
      <c r="A81" s="8">
        <v>44927</v>
      </c>
      <c r="I81" s="60">
        <f t="shared" si="38"/>
        <v>250</v>
      </c>
      <c r="J81" s="60">
        <f t="shared" si="39"/>
        <v>-6757.2408333333333</v>
      </c>
      <c r="K81" s="60">
        <f t="shared" si="40"/>
        <v>178.50916666666669</v>
      </c>
      <c r="L81" s="60">
        <f t="shared" si="41"/>
        <v>-3457.1241666666665</v>
      </c>
      <c r="M81" s="60">
        <f t="shared" si="42"/>
        <v>-3346.8308333333334</v>
      </c>
      <c r="N81" s="60">
        <f t="shared" si="43"/>
        <v>-3704.73</v>
      </c>
      <c r="O81" s="60">
        <f t="shared" si="44"/>
        <v>-8424.92</v>
      </c>
      <c r="P81" s="60">
        <f t="shared" si="45"/>
        <v>-6248.7775000000001</v>
      </c>
      <c r="Q81" s="60">
        <f t="shared" si="46"/>
        <v>15191.069166666666</v>
      </c>
      <c r="R81" s="60">
        <f t="shared" si="46"/>
        <v>-6828.854166666667</v>
      </c>
      <c r="S81" s="60">
        <f t="shared" si="47"/>
        <v>-5022.5708333333332</v>
      </c>
      <c r="T81" s="60">
        <f t="shared" si="47"/>
        <v>12772.496874999999</v>
      </c>
      <c r="AL81" s="60">
        <f t="shared" si="31"/>
        <v>-15398.973125000002</v>
      </c>
    </row>
    <row r="82" spans="1:38" x14ac:dyDescent="0.35">
      <c r="A82" s="8">
        <v>44958</v>
      </c>
      <c r="J82" s="60">
        <f t="shared" si="39"/>
        <v>-6757.2408333333333</v>
      </c>
      <c r="K82" s="60">
        <f t="shared" si="40"/>
        <v>178.50916666666669</v>
      </c>
      <c r="L82" s="60">
        <f t="shared" si="41"/>
        <v>-3457.1241666666665</v>
      </c>
      <c r="M82" s="60">
        <f t="shared" si="42"/>
        <v>-3346.8308333333334</v>
      </c>
      <c r="N82" s="60">
        <f t="shared" si="43"/>
        <v>-3704.73</v>
      </c>
      <c r="O82" s="60">
        <f t="shared" si="44"/>
        <v>-8424.92</v>
      </c>
      <c r="P82" s="60">
        <f t="shared" si="45"/>
        <v>-6248.7775000000001</v>
      </c>
      <c r="Q82" s="60">
        <f t="shared" si="46"/>
        <v>15191.069166666666</v>
      </c>
      <c r="R82" s="60">
        <f t="shared" si="46"/>
        <v>-6828.854166666667</v>
      </c>
      <c r="S82" s="60">
        <f t="shared" ref="S82:W95" si="48">S$61/12</f>
        <v>-5022.5708333333332</v>
      </c>
      <c r="T82" s="60">
        <f t="shared" si="47"/>
        <v>12772.496874999999</v>
      </c>
      <c r="U82" s="60">
        <f t="shared" si="47"/>
        <v>12772.496874999999</v>
      </c>
      <c r="AL82" s="60">
        <f t="shared" si="31"/>
        <v>-2876.4762500000106</v>
      </c>
    </row>
    <row r="83" spans="1:38" x14ac:dyDescent="0.35">
      <c r="A83" s="8">
        <v>44986</v>
      </c>
      <c r="K83" s="60">
        <f t="shared" si="40"/>
        <v>178.50916666666669</v>
      </c>
      <c r="L83" s="60">
        <f t="shared" si="41"/>
        <v>-3457.1241666666665</v>
      </c>
      <c r="M83" s="60">
        <f t="shared" si="42"/>
        <v>-3346.8308333333334</v>
      </c>
      <c r="N83" s="60">
        <f t="shared" si="43"/>
        <v>-3704.73</v>
      </c>
      <c r="O83" s="60">
        <f t="shared" si="44"/>
        <v>-8424.92</v>
      </c>
      <c r="P83" s="60">
        <f t="shared" si="45"/>
        <v>-6248.7775000000001</v>
      </c>
      <c r="Q83" s="60">
        <f t="shared" si="46"/>
        <v>15191.069166666666</v>
      </c>
      <c r="R83" s="60">
        <f t="shared" si="46"/>
        <v>-6828.854166666667</v>
      </c>
      <c r="S83" s="60">
        <f t="shared" si="48"/>
        <v>-5022.5708333333332</v>
      </c>
      <c r="T83" s="60">
        <f t="shared" si="48"/>
        <v>12772.496874999999</v>
      </c>
      <c r="U83" s="60">
        <f t="shared" si="47"/>
        <v>12772.496874999999</v>
      </c>
      <c r="V83" s="60">
        <f t="shared" si="47"/>
        <v>12772.496874999999</v>
      </c>
      <c r="AL83" s="60">
        <f t="shared" si="31"/>
        <v>16653.261458333334</v>
      </c>
    </row>
    <row r="84" spans="1:38" x14ac:dyDescent="0.35">
      <c r="A84" s="8">
        <v>45017</v>
      </c>
      <c r="L84" s="60">
        <f t="shared" si="41"/>
        <v>-3457.1241666666665</v>
      </c>
      <c r="M84" s="60">
        <f t="shared" si="42"/>
        <v>-3346.8308333333334</v>
      </c>
      <c r="N84" s="60">
        <f t="shared" si="43"/>
        <v>-3704.73</v>
      </c>
      <c r="O84" s="60">
        <f t="shared" si="44"/>
        <v>-8424.92</v>
      </c>
      <c r="P84" s="60">
        <f t="shared" si="45"/>
        <v>-6248.7775000000001</v>
      </c>
      <c r="Q84" s="60">
        <f t="shared" si="46"/>
        <v>15191.069166666666</v>
      </c>
      <c r="R84" s="60">
        <f t="shared" si="46"/>
        <v>-6828.854166666667</v>
      </c>
      <c r="S84" s="60">
        <f t="shared" si="48"/>
        <v>-5022.5708333333332</v>
      </c>
      <c r="T84" s="60">
        <f t="shared" si="48"/>
        <v>12772.496874999999</v>
      </c>
      <c r="U84" s="60">
        <f t="shared" si="48"/>
        <v>12772.496874999999</v>
      </c>
      <c r="V84" s="60">
        <f t="shared" si="47"/>
        <v>12772.496874999999</v>
      </c>
      <c r="W84" s="60">
        <f t="shared" si="47"/>
        <v>12772.496874999999</v>
      </c>
      <c r="AL84" s="60">
        <f t="shared" si="31"/>
        <v>29247.249166666661</v>
      </c>
    </row>
    <row r="85" spans="1:38" x14ac:dyDescent="0.35">
      <c r="A85" s="8">
        <v>45047</v>
      </c>
      <c r="M85" s="60">
        <f t="shared" si="42"/>
        <v>-3346.8308333333334</v>
      </c>
      <c r="N85" s="60">
        <f t="shared" si="43"/>
        <v>-3704.73</v>
      </c>
      <c r="O85" s="60">
        <f t="shared" si="44"/>
        <v>-8424.92</v>
      </c>
      <c r="P85" s="60">
        <f t="shared" si="45"/>
        <v>-6248.7775000000001</v>
      </c>
      <c r="Q85" s="60">
        <f t="shared" si="46"/>
        <v>15191.069166666666</v>
      </c>
      <c r="R85" s="60">
        <f t="shared" si="46"/>
        <v>-6828.854166666667</v>
      </c>
      <c r="S85" s="60">
        <f t="shared" si="48"/>
        <v>-5022.5708333333332</v>
      </c>
      <c r="T85" s="60">
        <f t="shared" si="48"/>
        <v>12772.496874999999</v>
      </c>
      <c r="U85" s="60">
        <f t="shared" si="48"/>
        <v>12772.496874999999</v>
      </c>
      <c r="V85" s="60">
        <f t="shared" si="48"/>
        <v>12772.496874999999</v>
      </c>
      <c r="W85" s="60">
        <f t="shared" si="47"/>
        <v>12772.496874999999</v>
      </c>
      <c r="X85" s="60">
        <f t="shared" si="47"/>
        <v>12772.496874999999</v>
      </c>
      <c r="AL85" s="60">
        <f t="shared" si="31"/>
        <v>45476.870208333326</v>
      </c>
    </row>
    <row r="86" spans="1:38" x14ac:dyDescent="0.35">
      <c r="A86" s="8">
        <v>45078</v>
      </c>
      <c r="N86" s="60">
        <f t="shared" si="43"/>
        <v>-3704.73</v>
      </c>
      <c r="O86" s="60">
        <f t="shared" si="44"/>
        <v>-8424.92</v>
      </c>
      <c r="P86" s="60">
        <f t="shared" si="45"/>
        <v>-6248.7775000000001</v>
      </c>
      <c r="Q86" s="60">
        <f t="shared" si="46"/>
        <v>15191.069166666666</v>
      </c>
      <c r="R86" s="60">
        <f t="shared" si="46"/>
        <v>-6828.854166666667</v>
      </c>
      <c r="S86" s="60">
        <f t="shared" si="48"/>
        <v>-5022.5708333333332</v>
      </c>
      <c r="T86" s="60">
        <f t="shared" si="48"/>
        <v>12772.496874999999</v>
      </c>
      <c r="U86" s="60">
        <f t="shared" si="48"/>
        <v>12772.496874999999</v>
      </c>
      <c r="V86" s="60">
        <f t="shared" si="48"/>
        <v>12772.496874999999</v>
      </c>
      <c r="W86" s="60">
        <f t="shared" si="48"/>
        <v>12772.496874999999</v>
      </c>
      <c r="X86" s="60">
        <f t="shared" si="47"/>
        <v>12772.496874999999</v>
      </c>
      <c r="Y86" s="60">
        <f t="shared" si="47"/>
        <v>12772.496874999999</v>
      </c>
      <c r="AL86" s="60">
        <f t="shared" si="31"/>
        <v>61596.197916666657</v>
      </c>
    </row>
    <row r="87" spans="1:38" x14ac:dyDescent="0.35">
      <c r="A87" s="8">
        <v>45108</v>
      </c>
      <c r="N87" s="60"/>
      <c r="O87" s="60">
        <f t="shared" si="44"/>
        <v>-8424.92</v>
      </c>
      <c r="P87" s="60">
        <f t="shared" si="45"/>
        <v>-6248.7775000000001</v>
      </c>
      <c r="Q87" s="60">
        <f t="shared" si="46"/>
        <v>15191.069166666666</v>
      </c>
      <c r="R87" s="60">
        <f t="shared" si="46"/>
        <v>-6828.854166666667</v>
      </c>
      <c r="S87" s="60">
        <f t="shared" si="48"/>
        <v>-5022.5708333333332</v>
      </c>
      <c r="T87" s="60">
        <f t="shared" si="48"/>
        <v>12772.496874999999</v>
      </c>
      <c r="U87" s="60">
        <f t="shared" si="48"/>
        <v>12772.496874999999</v>
      </c>
      <c r="V87" s="60">
        <f t="shared" si="48"/>
        <v>12772.496874999999</v>
      </c>
      <c r="W87" s="60">
        <f t="shared" si="48"/>
        <v>12772.496874999999</v>
      </c>
      <c r="X87" s="60">
        <f t="shared" si="47"/>
        <v>12772.496874999999</v>
      </c>
      <c r="Y87" s="60">
        <f t="shared" si="47"/>
        <v>12772.496874999999</v>
      </c>
      <c r="AL87" s="60">
        <f t="shared" si="31"/>
        <v>65300.927916666653</v>
      </c>
    </row>
    <row r="88" spans="1:38" x14ac:dyDescent="0.35">
      <c r="A88" s="8">
        <v>45139</v>
      </c>
      <c r="N88" s="60"/>
      <c r="O88" s="60"/>
      <c r="P88" s="60">
        <f t="shared" si="45"/>
        <v>-6248.7775000000001</v>
      </c>
      <c r="Q88" s="60">
        <f t="shared" si="46"/>
        <v>15191.069166666666</v>
      </c>
      <c r="R88" s="60">
        <f t="shared" si="46"/>
        <v>-6828.854166666667</v>
      </c>
      <c r="S88" s="60">
        <f t="shared" si="48"/>
        <v>-5022.5708333333332</v>
      </c>
      <c r="T88" s="60">
        <f t="shared" si="48"/>
        <v>12772.496874999999</v>
      </c>
      <c r="U88" s="60">
        <f t="shared" si="48"/>
        <v>12772.496874999999</v>
      </c>
      <c r="V88" s="60">
        <f t="shared" si="48"/>
        <v>12772.496874999999</v>
      </c>
      <c r="W88" s="60">
        <f t="shared" si="48"/>
        <v>12772.496874999999</v>
      </c>
      <c r="X88" s="60">
        <f t="shared" si="47"/>
        <v>12772.496874999999</v>
      </c>
      <c r="Y88" s="60">
        <f t="shared" si="47"/>
        <v>12772.496874999999</v>
      </c>
      <c r="AL88" s="60">
        <f t="shared" si="31"/>
        <v>73725.847916666651</v>
      </c>
    </row>
    <row r="89" spans="1:38" x14ac:dyDescent="0.35">
      <c r="A89" s="8">
        <v>45170</v>
      </c>
      <c r="N89" s="60"/>
      <c r="O89" s="60"/>
      <c r="P89" s="60"/>
      <c r="Q89" s="60">
        <f t="shared" si="46"/>
        <v>15191.069166666666</v>
      </c>
      <c r="R89" s="60">
        <f t="shared" si="46"/>
        <v>-6828.854166666667</v>
      </c>
      <c r="S89" s="60">
        <f t="shared" si="48"/>
        <v>-5022.5708333333332</v>
      </c>
      <c r="T89" s="60">
        <f t="shared" si="48"/>
        <v>12772.496874999999</v>
      </c>
      <c r="U89" s="60">
        <f t="shared" si="48"/>
        <v>12772.496874999999</v>
      </c>
      <c r="V89" s="60">
        <f t="shared" si="48"/>
        <v>12772.496874999999</v>
      </c>
      <c r="W89" s="60">
        <f t="shared" si="48"/>
        <v>12772.496874999999</v>
      </c>
      <c r="X89" s="60">
        <f t="shared" si="47"/>
        <v>12772.496874999999</v>
      </c>
      <c r="Y89" s="60">
        <f t="shared" si="47"/>
        <v>12772.496874999999</v>
      </c>
      <c r="AL89" s="60">
        <f t="shared" si="31"/>
        <v>79974.625416666662</v>
      </c>
    </row>
    <row r="90" spans="1:38" x14ac:dyDescent="0.35">
      <c r="A90" s="8">
        <v>45200</v>
      </c>
      <c r="N90" s="60"/>
      <c r="O90" s="60"/>
      <c r="P90" s="60"/>
      <c r="Q90" s="60"/>
      <c r="R90" s="60">
        <f t="shared" si="46"/>
        <v>-6828.854166666667</v>
      </c>
      <c r="S90" s="60">
        <f t="shared" si="48"/>
        <v>-5022.5708333333332</v>
      </c>
      <c r="T90" s="60">
        <f t="shared" si="48"/>
        <v>12772.496874999999</v>
      </c>
      <c r="U90" s="60">
        <f t="shared" si="48"/>
        <v>12772.496874999999</v>
      </c>
      <c r="V90" s="60">
        <f t="shared" si="48"/>
        <v>12772.496874999999</v>
      </c>
      <c r="W90" s="60">
        <f t="shared" si="48"/>
        <v>12772.496874999999</v>
      </c>
      <c r="X90" s="60">
        <f t="shared" si="47"/>
        <v>12772.496874999999</v>
      </c>
      <c r="Y90" s="60">
        <f t="shared" si="47"/>
        <v>12772.496874999999</v>
      </c>
      <c r="AL90" s="60">
        <f t="shared" si="31"/>
        <v>64783.556249999987</v>
      </c>
    </row>
    <row r="91" spans="1:38" x14ac:dyDescent="0.35">
      <c r="A91" s="8">
        <v>45231</v>
      </c>
      <c r="N91" s="60"/>
      <c r="O91" s="60"/>
      <c r="P91" s="60"/>
      <c r="Q91" s="60"/>
      <c r="R91" s="60"/>
      <c r="S91" s="60">
        <f t="shared" si="48"/>
        <v>-5022.5708333333332</v>
      </c>
      <c r="T91" s="60">
        <f t="shared" si="48"/>
        <v>12772.496874999999</v>
      </c>
      <c r="U91" s="60">
        <f t="shared" si="48"/>
        <v>12772.496874999999</v>
      </c>
      <c r="V91" s="60">
        <f t="shared" si="48"/>
        <v>12772.496874999999</v>
      </c>
      <c r="W91" s="60">
        <f t="shared" si="48"/>
        <v>12772.496874999999</v>
      </c>
      <c r="X91" s="60">
        <f t="shared" si="47"/>
        <v>12772.496874999999</v>
      </c>
      <c r="Y91" s="60">
        <f t="shared" si="47"/>
        <v>12772.496874999999</v>
      </c>
      <c r="AL91" s="60">
        <f t="shared" si="31"/>
        <v>71612.410416666651</v>
      </c>
    </row>
    <row r="92" spans="1:38" x14ac:dyDescent="0.35">
      <c r="A92" s="8">
        <v>45261</v>
      </c>
      <c r="N92" s="60"/>
      <c r="O92" s="60"/>
      <c r="P92" s="60"/>
      <c r="Q92" s="60"/>
      <c r="R92" s="60"/>
      <c r="S92" s="60"/>
      <c r="T92" s="60">
        <f t="shared" si="48"/>
        <v>12772.496874999999</v>
      </c>
      <c r="U92" s="60">
        <f t="shared" si="48"/>
        <v>12772.496874999999</v>
      </c>
      <c r="V92" s="60">
        <f t="shared" si="48"/>
        <v>12772.496874999999</v>
      </c>
      <c r="W92" s="60">
        <f t="shared" si="48"/>
        <v>12772.496874999999</v>
      </c>
      <c r="X92" s="60">
        <f t="shared" si="47"/>
        <v>12772.496874999999</v>
      </c>
      <c r="Y92" s="60">
        <f t="shared" si="47"/>
        <v>12772.496874999999</v>
      </c>
      <c r="AL92" s="60">
        <f t="shared" si="31"/>
        <v>76634.981249999997</v>
      </c>
    </row>
    <row r="93" spans="1:38" x14ac:dyDescent="0.35">
      <c r="A93" s="8">
        <v>45292</v>
      </c>
      <c r="N93" s="60"/>
      <c r="O93" s="60"/>
      <c r="P93" s="60"/>
      <c r="Q93" s="60"/>
      <c r="R93" s="60"/>
      <c r="S93" s="60"/>
      <c r="T93" s="60"/>
      <c r="U93" s="60">
        <f t="shared" si="48"/>
        <v>12772.496874999999</v>
      </c>
      <c r="V93" s="60">
        <f t="shared" si="48"/>
        <v>12772.496874999999</v>
      </c>
      <c r="W93" s="60">
        <f t="shared" si="48"/>
        <v>12772.496874999999</v>
      </c>
      <c r="X93" s="60">
        <f t="shared" si="47"/>
        <v>12772.496874999999</v>
      </c>
      <c r="Y93" s="60">
        <f t="shared" si="47"/>
        <v>12772.496874999999</v>
      </c>
      <c r="AL93" s="60">
        <f t="shared" si="31"/>
        <v>63862.484374999993</v>
      </c>
    </row>
    <row r="94" spans="1:38" x14ac:dyDescent="0.35">
      <c r="A94" s="8">
        <v>45323</v>
      </c>
      <c r="N94" s="60"/>
      <c r="O94" s="60"/>
      <c r="P94" s="60"/>
      <c r="Q94" s="60"/>
      <c r="R94" s="60"/>
      <c r="S94" s="60"/>
      <c r="T94" s="60"/>
      <c r="U94" s="60"/>
      <c r="V94" s="60">
        <f t="shared" si="48"/>
        <v>12772.496874999999</v>
      </c>
      <c r="W94" s="60">
        <f t="shared" si="48"/>
        <v>12772.496874999999</v>
      </c>
      <c r="X94" s="60">
        <f t="shared" si="47"/>
        <v>12772.496874999999</v>
      </c>
      <c r="Y94" s="60">
        <f t="shared" si="47"/>
        <v>12772.496874999999</v>
      </c>
      <c r="AL94" s="60">
        <f t="shared" si="31"/>
        <v>51089.987499999996</v>
      </c>
    </row>
    <row r="95" spans="1:38" x14ac:dyDescent="0.35">
      <c r="A95" s="8">
        <v>45352</v>
      </c>
      <c r="N95" s="60"/>
      <c r="O95" s="60"/>
      <c r="P95" s="60"/>
      <c r="Q95" s="60"/>
      <c r="R95" s="60"/>
      <c r="S95" s="60"/>
      <c r="T95" s="60"/>
      <c r="U95" s="60"/>
      <c r="V95" s="60"/>
      <c r="W95" s="60">
        <f t="shared" si="48"/>
        <v>12772.496874999999</v>
      </c>
      <c r="X95" s="60">
        <f t="shared" si="47"/>
        <v>12772.496874999999</v>
      </c>
      <c r="Y95" s="60">
        <f t="shared" si="47"/>
        <v>12772.496874999999</v>
      </c>
      <c r="AL95" s="60">
        <f t="shared" si="31"/>
        <v>38317.490624999999</v>
      </c>
    </row>
    <row r="96" spans="1:38" x14ac:dyDescent="0.35">
      <c r="A96" s="8">
        <v>45383</v>
      </c>
      <c r="N96" s="60"/>
      <c r="O96" s="60"/>
      <c r="P96" s="60"/>
      <c r="Q96" s="60"/>
      <c r="R96" s="60"/>
      <c r="S96" s="60"/>
      <c r="T96" s="60"/>
      <c r="U96" s="60"/>
      <c r="V96" s="60"/>
      <c r="W96" s="60"/>
      <c r="X96" s="60">
        <f t="shared" ref="X96:Y97" si="49">X$61/12</f>
        <v>12772.496874999999</v>
      </c>
      <c r="Y96" s="60">
        <f t="shared" si="49"/>
        <v>12772.496874999999</v>
      </c>
      <c r="AL96" s="60">
        <f t="shared" si="31"/>
        <v>25544.993749999998</v>
      </c>
    </row>
    <row r="97" spans="1:38" x14ac:dyDescent="0.35">
      <c r="A97" s="8">
        <v>45413</v>
      </c>
      <c r="N97" s="60"/>
      <c r="O97" s="60"/>
      <c r="P97" s="60"/>
      <c r="Q97" s="60"/>
      <c r="R97" s="60"/>
      <c r="S97" s="60"/>
      <c r="T97" s="60"/>
      <c r="U97" s="60"/>
      <c r="V97" s="60"/>
      <c r="W97" s="60"/>
      <c r="X97" s="60"/>
      <c r="Y97" s="60">
        <f t="shared" si="49"/>
        <v>12772.496874999999</v>
      </c>
      <c r="AL97" s="60">
        <f t="shared" si="31"/>
        <v>12772.496874999999</v>
      </c>
    </row>
    <row r="98" spans="1:38" x14ac:dyDescent="0.35">
      <c r="A98" s="8">
        <v>45444</v>
      </c>
      <c r="N98" s="60"/>
      <c r="O98" s="60"/>
      <c r="P98" s="60"/>
      <c r="Q98" s="60"/>
      <c r="R98" s="60"/>
      <c r="S98" s="60"/>
      <c r="T98" s="60"/>
      <c r="U98" s="60"/>
      <c r="V98" s="60"/>
      <c r="W98" s="60"/>
      <c r="X98" s="60"/>
      <c r="Y98" s="60"/>
      <c r="AL98" s="60">
        <f t="shared" si="31"/>
        <v>0</v>
      </c>
    </row>
    <row r="99" spans="1:38" x14ac:dyDescent="0.35">
      <c r="B99" s="60">
        <f t="shared" ref="B99:Y99" si="50">SUM(B63:B86)</f>
        <v>0</v>
      </c>
      <c r="C99" s="60">
        <f t="shared" si="50"/>
        <v>26000.000000000004</v>
      </c>
      <c r="D99" s="60">
        <f t="shared" si="50"/>
        <v>512000.00000000006</v>
      </c>
      <c r="E99" s="60">
        <f t="shared" si="50"/>
        <v>3000</v>
      </c>
      <c r="F99" s="60">
        <f t="shared" si="50"/>
        <v>3000</v>
      </c>
      <c r="G99" s="60">
        <f t="shared" si="50"/>
        <v>3000</v>
      </c>
      <c r="H99" s="60">
        <f t="shared" si="50"/>
        <v>3000</v>
      </c>
      <c r="I99" s="60">
        <f t="shared" si="50"/>
        <v>3000</v>
      </c>
      <c r="J99" s="60">
        <f t="shared" si="50"/>
        <v>-81086.88999999997</v>
      </c>
      <c r="K99" s="60">
        <f t="shared" si="50"/>
        <v>2142.11</v>
      </c>
      <c r="L99" s="60">
        <f t="shared" si="50"/>
        <v>-41485.490000000013</v>
      </c>
      <c r="M99" s="60">
        <f t="shared" si="50"/>
        <v>-40161.97</v>
      </c>
      <c r="N99" s="60">
        <f t="shared" si="50"/>
        <v>-44456.760000000009</v>
      </c>
      <c r="O99" s="60">
        <f t="shared" si="50"/>
        <v>-92674.12</v>
      </c>
      <c r="P99" s="60">
        <f t="shared" si="50"/>
        <v>-62487.774999999994</v>
      </c>
      <c r="Q99" s="60">
        <f t="shared" si="50"/>
        <v>136719.6225</v>
      </c>
      <c r="R99" s="60">
        <f t="shared" si="50"/>
        <v>-54630.833333333328</v>
      </c>
      <c r="S99" s="60">
        <f t="shared" si="50"/>
        <v>-35157.995833333327</v>
      </c>
      <c r="T99" s="60">
        <f t="shared" si="50"/>
        <v>76634.981249999997</v>
      </c>
      <c r="U99" s="60">
        <f t="shared" si="50"/>
        <v>63862.484374999993</v>
      </c>
      <c r="V99" s="60">
        <f t="shared" si="50"/>
        <v>51089.987499999996</v>
      </c>
      <c r="W99" s="60">
        <f t="shared" si="50"/>
        <v>38317.490624999999</v>
      </c>
      <c r="X99" s="60">
        <f t="shared" si="50"/>
        <v>25544.993749999998</v>
      </c>
      <c r="Y99" s="60">
        <f t="shared" si="50"/>
        <v>12772.496874999999</v>
      </c>
      <c r="AA99" s="60">
        <f>SUM(B99:Y99)-AL99</f>
        <v>0</v>
      </c>
      <c r="AL99" s="60">
        <f>SUM(AL63:AL86)</f>
        <v>507942.33270833315</v>
      </c>
    </row>
    <row r="100" spans="1:38" x14ac:dyDescent="0.35">
      <c r="A100" t="s">
        <v>18</v>
      </c>
      <c r="B100" s="61">
        <f>+$AL$63</f>
        <v>0</v>
      </c>
      <c r="C100" s="61">
        <f>+$AL$64</f>
        <v>2166.6666666666665</v>
      </c>
      <c r="D100" s="61">
        <f>+$AL$65</f>
        <v>44833.333333333328</v>
      </c>
      <c r="E100" s="61">
        <f>+$AL$66</f>
        <v>45083.333333333328</v>
      </c>
      <c r="F100" s="61">
        <f>+$AL$67</f>
        <v>45333.333333333328</v>
      </c>
      <c r="G100" s="61">
        <f>+$AL$68</f>
        <v>45583.333333333328</v>
      </c>
      <c r="H100" s="61">
        <f>+$AL$69</f>
        <v>45833.333333333328</v>
      </c>
      <c r="I100" s="61">
        <f>+$AL$70</f>
        <v>46083.333333333328</v>
      </c>
      <c r="J100" s="61">
        <f>+$AL$71</f>
        <v>39326.092499999999</v>
      </c>
      <c r="K100" s="61">
        <f>+$AL$72</f>
        <v>39504.601666666662</v>
      </c>
      <c r="L100" s="61">
        <f>+$AL$73</f>
        <v>36047.477499999994</v>
      </c>
      <c r="M100" s="61">
        <f>+$AL$74</f>
        <v>32700.64666666666</v>
      </c>
      <c r="N100" s="61">
        <f>+$AL$75</f>
        <v>28995.916666666661</v>
      </c>
      <c r="O100" s="61">
        <f>+$AL$76</f>
        <v>18404.329999999987</v>
      </c>
      <c r="P100" s="61">
        <f>+$AL$77</f>
        <v>-30511.114166666666</v>
      </c>
      <c r="Q100" s="61">
        <f>+$AL$78</f>
        <v>-15570.045</v>
      </c>
      <c r="R100" s="61">
        <f>+$AL$79</f>
        <v>-22648.899166666666</v>
      </c>
      <c r="S100" s="61">
        <f>+$AL$80</f>
        <v>-27921.47</v>
      </c>
      <c r="T100" s="61">
        <f>+$AL$81</f>
        <v>-15398.973125000002</v>
      </c>
      <c r="U100" s="61">
        <f>+$AL$82</f>
        <v>-2876.4762500000106</v>
      </c>
      <c r="V100" s="61">
        <f>+$AL$83</f>
        <v>16653.261458333334</v>
      </c>
      <c r="W100" s="61">
        <f>+$AL$84</f>
        <v>29247.249166666661</v>
      </c>
      <c r="X100" s="61">
        <f>+$AL$85</f>
        <v>45476.870208333326</v>
      </c>
      <c r="Y100" s="61">
        <f>+$AL$86</f>
        <v>61596.197916666657</v>
      </c>
      <c r="AL100" s="61">
        <f>SUM(B100:Y100)</f>
        <v>507942.33270833315</v>
      </c>
    </row>
  </sheetData>
  <mergeCells count="4">
    <mergeCell ref="B7:J7"/>
    <mergeCell ref="L7:N7"/>
    <mergeCell ref="B24:J24"/>
    <mergeCell ref="L24:N24"/>
  </mergeCells>
  <pageMargins left="0.7" right="0.7" top="0.75" bottom="0.75" header="0.3" footer="0.3"/>
  <pageSetup scale="28" orientation="landscape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ADEF52-3D56-4CB7-9D54-0CD14C07A191}">
  <sheetPr>
    <pageSetUpPr fitToPage="1"/>
  </sheetPr>
  <dimension ref="A1:P42"/>
  <sheetViews>
    <sheetView workbookViewId="0">
      <selection activeCell="G29" sqref="G29"/>
    </sheetView>
  </sheetViews>
  <sheetFormatPr defaultRowHeight="14.5" x14ac:dyDescent="0.35"/>
  <cols>
    <col min="1" max="1" width="10.54296875" customWidth="1"/>
    <col min="2" max="2" width="14.1796875" bestFit="1" customWidth="1"/>
    <col min="3" max="3" width="13.54296875" bestFit="1" customWidth="1"/>
    <col min="4" max="6" width="12.54296875" bestFit="1" customWidth="1"/>
    <col min="7" max="7" width="13.81640625" bestFit="1" customWidth="1"/>
    <col min="9" max="9" width="11.1796875" bestFit="1" customWidth="1"/>
    <col min="10" max="10" width="12.1796875" bestFit="1" customWidth="1"/>
    <col min="11" max="11" width="9" bestFit="1" customWidth="1"/>
    <col min="12" max="12" width="10.54296875" bestFit="1" customWidth="1"/>
    <col min="13" max="13" width="15.453125" bestFit="1" customWidth="1"/>
  </cols>
  <sheetData>
    <row r="1" spans="1:16" ht="15.5" x14ac:dyDescent="0.35">
      <c r="A1" s="6" t="s">
        <v>0</v>
      </c>
      <c r="M1" s="92" t="s">
        <v>163</v>
      </c>
    </row>
    <row r="2" spans="1:16" ht="15.5" x14ac:dyDescent="0.35">
      <c r="A2" s="7" t="s">
        <v>1</v>
      </c>
      <c r="M2" s="92" t="s">
        <v>226</v>
      </c>
    </row>
    <row r="3" spans="1:16" x14ac:dyDescent="0.35">
      <c r="A3" s="3" t="s">
        <v>58</v>
      </c>
    </row>
    <row r="5" spans="1:16" x14ac:dyDescent="0.35">
      <c r="D5" s="2" t="s">
        <v>59</v>
      </c>
      <c r="E5" s="2" t="s">
        <v>60</v>
      </c>
      <c r="F5" s="2" t="s">
        <v>61</v>
      </c>
      <c r="M5" s="2" t="s">
        <v>42</v>
      </c>
    </row>
    <row r="6" spans="1:16" x14ac:dyDescent="0.35">
      <c r="C6" s="2" t="s">
        <v>62</v>
      </c>
      <c r="D6" s="2" t="s">
        <v>9</v>
      </c>
      <c r="E6" s="2" t="s">
        <v>63</v>
      </c>
      <c r="F6" s="2" t="s">
        <v>9</v>
      </c>
      <c r="G6" s="2" t="s">
        <v>64</v>
      </c>
      <c r="J6" s="2" t="s">
        <v>65</v>
      </c>
      <c r="K6" s="2" t="s">
        <v>66</v>
      </c>
      <c r="L6" s="2" t="s">
        <v>67</v>
      </c>
      <c r="M6" s="2" t="s">
        <v>68</v>
      </c>
    </row>
    <row r="7" spans="1:16" x14ac:dyDescent="0.35">
      <c r="B7" s="2" t="s">
        <v>23</v>
      </c>
      <c r="C7" s="2" t="s">
        <v>51</v>
      </c>
      <c r="D7" s="2" t="s">
        <v>69</v>
      </c>
      <c r="E7" s="2" t="s">
        <v>167</v>
      </c>
      <c r="F7" s="2" t="s">
        <v>69</v>
      </c>
      <c r="G7" s="2" t="s">
        <v>70</v>
      </c>
      <c r="H7" s="2" t="s">
        <v>41</v>
      </c>
      <c r="I7" s="2" t="s">
        <v>42</v>
      </c>
      <c r="J7" s="2" t="s">
        <v>71</v>
      </c>
      <c r="K7" s="2" t="s">
        <v>67</v>
      </c>
      <c r="L7" s="2" t="s">
        <v>72</v>
      </c>
      <c r="M7" s="2" t="s">
        <v>167</v>
      </c>
    </row>
    <row r="8" spans="1:16" x14ac:dyDescent="0.35">
      <c r="A8" s="63" t="s">
        <v>24</v>
      </c>
      <c r="B8" s="17" t="s">
        <v>27</v>
      </c>
      <c r="C8" s="17" t="s">
        <v>55</v>
      </c>
      <c r="D8" s="17" t="s">
        <v>73</v>
      </c>
      <c r="E8" s="17" t="s">
        <v>74</v>
      </c>
      <c r="F8" s="17" t="s">
        <v>73</v>
      </c>
      <c r="G8" s="17" t="s">
        <v>75</v>
      </c>
      <c r="H8" s="17" t="s">
        <v>76</v>
      </c>
      <c r="I8" s="17" t="s">
        <v>41</v>
      </c>
      <c r="J8" s="17" t="s">
        <v>77</v>
      </c>
      <c r="K8" s="17" t="s">
        <v>78</v>
      </c>
      <c r="L8" s="17" t="s">
        <v>53</v>
      </c>
      <c r="M8" s="17" t="s">
        <v>75</v>
      </c>
    </row>
    <row r="9" spans="1:16" x14ac:dyDescent="0.35">
      <c r="A9" s="8">
        <v>44743</v>
      </c>
      <c r="B9" s="11">
        <f>'Actual EEC rev.- class (EE&amp;C-1)'!F15</f>
        <v>1215334.568651817</v>
      </c>
      <c r="C9" s="11">
        <f>+'Monthly Revenue Req. (EE&amp;C-2)'!R14</f>
        <v>821203.98529241048</v>
      </c>
      <c r="D9" s="68">
        <v>6524037.8899999997</v>
      </c>
      <c r="E9" s="11">
        <f>-C9+B9</f>
        <v>394130.58335940656</v>
      </c>
      <c r="F9" s="11">
        <f>SUM(D9:E9)</f>
        <v>6918168.473359406</v>
      </c>
      <c r="G9" s="12">
        <f>(F9+D9)/2</f>
        <v>6721103.1816797033</v>
      </c>
      <c r="H9" s="13">
        <v>0.28110000000000002</v>
      </c>
      <c r="I9" s="21">
        <f>ROUND(G9*H9,2)</f>
        <v>1889302.1</v>
      </c>
      <c r="J9" s="12">
        <f>G9-I9</f>
        <v>4831801.0816797037</v>
      </c>
      <c r="K9" s="14">
        <v>2.8666666666666667E-3</v>
      </c>
      <c r="L9" s="11">
        <f>ROUND(J9*K9,2)</f>
        <v>13851.16</v>
      </c>
      <c r="M9" s="12">
        <f>SUM($L$9:L9)+F9</f>
        <v>6932019.6333594061</v>
      </c>
      <c r="P9" s="12"/>
    </row>
    <row r="10" spans="1:16" x14ac:dyDescent="0.35">
      <c r="A10" s="8">
        <v>44774</v>
      </c>
      <c r="B10" s="10">
        <f>'Actual EEC rev.- class (EE&amp;C-1)'!F16</f>
        <v>1359338.4299999997</v>
      </c>
      <c r="C10" s="10">
        <f>+'Monthly Revenue Req. (EE&amp;C-2)'!R15</f>
        <v>579739.61769984639</v>
      </c>
      <c r="D10" s="10">
        <f>+F9</f>
        <v>6918168.473359406</v>
      </c>
      <c r="E10" s="11">
        <f t="shared" ref="E10:E14" si="0">-C10+B10</f>
        <v>779598.81230015331</v>
      </c>
      <c r="F10" s="10">
        <f t="shared" ref="F10:F14" si="1">SUM(D10:E10)</f>
        <v>7697767.2856595591</v>
      </c>
      <c r="G10" s="10">
        <f t="shared" ref="G10:G14" si="2">(F10+D10)/2</f>
        <v>7307967.8795094825</v>
      </c>
      <c r="H10" s="13">
        <v>0.28110000000000002</v>
      </c>
      <c r="I10" s="21">
        <f t="shared" ref="I10:I14" si="3">ROUND(G10*H10,2)</f>
        <v>2054269.77</v>
      </c>
      <c r="J10" s="10">
        <f t="shared" ref="J10:J14" si="4">G10-I10</f>
        <v>5253698.109509483</v>
      </c>
      <c r="K10" s="14">
        <v>2.9166666666666668E-3</v>
      </c>
      <c r="L10" s="10">
        <f t="shared" ref="L10:L14" si="5">ROUND(J10*K10,2)</f>
        <v>15323.29</v>
      </c>
      <c r="M10" s="12">
        <f>SUM($L$9:L10)+F10</f>
        <v>7726941.7356595593</v>
      </c>
    </row>
    <row r="11" spans="1:16" x14ac:dyDescent="0.35">
      <c r="A11" s="8">
        <v>44805</v>
      </c>
      <c r="B11" s="10">
        <f>'Actual EEC rev.- class (EE&amp;C-1)'!F17</f>
        <v>1245009.5098241502</v>
      </c>
      <c r="C11" s="10">
        <f>+'Monthly Revenue Req. (EE&amp;C-2)'!R16</f>
        <v>568616.76090805256</v>
      </c>
      <c r="D11" s="10">
        <f t="shared" ref="D11:D14" si="6">+F10</f>
        <v>7697767.2856595591</v>
      </c>
      <c r="E11" s="11">
        <f t="shared" si="0"/>
        <v>676392.74891609768</v>
      </c>
      <c r="F11" s="10">
        <f t="shared" si="1"/>
        <v>8374160.034575657</v>
      </c>
      <c r="G11" s="10">
        <f t="shared" si="2"/>
        <v>8035963.6601176076</v>
      </c>
      <c r="H11" s="13">
        <v>0.28110000000000002</v>
      </c>
      <c r="I11" s="21">
        <f t="shared" si="3"/>
        <v>2258909.38</v>
      </c>
      <c r="J11" s="10">
        <f t="shared" si="4"/>
        <v>5777054.2801176077</v>
      </c>
      <c r="K11" s="14">
        <v>3.4249999999999997E-3</v>
      </c>
      <c r="L11" s="10">
        <f t="shared" si="5"/>
        <v>19786.41</v>
      </c>
      <c r="M11" s="12">
        <f>SUM($L$9:L11)+F11</f>
        <v>8423120.8945756573</v>
      </c>
    </row>
    <row r="12" spans="1:16" x14ac:dyDescent="0.35">
      <c r="A12" s="8">
        <v>44835</v>
      </c>
      <c r="B12" s="10">
        <f>'Actual EEC rev.- class (EE&amp;C-1)'!F18</f>
        <v>873850.81796014076</v>
      </c>
      <c r="C12" s="10">
        <f>+'Monthly Revenue Req. (EE&amp;C-2)'!R17</f>
        <v>784710.44152870623</v>
      </c>
      <c r="D12" s="10">
        <f t="shared" si="6"/>
        <v>8374160.034575657</v>
      </c>
      <c r="E12" s="11">
        <f t="shared" si="0"/>
        <v>89140.376431434532</v>
      </c>
      <c r="F12" s="10">
        <f t="shared" si="1"/>
        <v>8463300.4110070914</v>
      </c>
      <c r="G12" s="10">
        <f t="shared" si="2"/>
        <v>8418730.2227913737</v>
      </c>
      <c r="H12" s="13">
        <v>0.28110000000000002</v>
      </c>
      <c r="I12" s="21">
        <f t="shared" si="3"/>
        <v>2366505.0699999998</v>
      </c>
      <c r="J12" s="10">
        <f t="shared" si="4"/>
        <v>6052225.1527913734</v>
      </c>
      <c r="K12" s="14">
        <v>3.933333333333333E-3</v>
      </c>
      <c r="L12" s="10">
        <f t="shared" si="5"/>
        <v>23805.42</v>
      </c>
      <c r="M12" s="12">
        <f>SUM($L$9:L12)+F12</f>
        <v>8536066.6910070907</v>
      </c>
    </row>
    <row r="13" spans="1:16" x14ac:dyDescent="0.35">
      <c r="A13" s="8">
        <v>44866</v>
      </c>
      <c r="B13" s="10">
        <f>'Actual EEC rev.- class (EE&amp;C-1)'!F19</f>
        <v>776938.73127784289</v>
      </c>
      <c r="C13" s="10">
        <f>+'Monthly Revenue Req. (EE&amp;C-2)'!R18</f>
        <v>798815.37832435209</v>
      </c>
      <c r="D13" s="10">
        <f t="shared" si="6"/>
        <v>8463300.4110070914</v>
      </c>
      <c r="E13" s="11">
        <f t="shared" si="0"/>
        <v>-21876.647046509199</v>
      </c>
      <c r="F13" s="10">
        <f t="shared" si="1"/>
        <v>8441423.7639605813</v>
      </c>
      <c r="G13" s="10">
        <f t="shared" si="2"/>
        <v>8452362.0874838363</v>
      </c>
      <c r="H13" s="13">
        <v>0.28110000000000002</v>
      </c>
      <c r="I13" s="21">
        <f t="shared" si="3"/>
        <v>2375958.98</v>
      </c>
      <c r="J13" s="10">
        <f t="shared" si="4"/>
        <v>6076403.1074838359</v>
      </c>
      <c r="K13" s="14">
        <v>4.2833333333333334E-3</v>
      </c>
      <c r="L13" s="10">
        <f t="shared" si="5"/>
        <v>26027.26</v>
      </c>
      <c r="M13" s="12">
        <f>SUM($L$9:L13)+F13</f>
        <v>8540217.3039605804</v>
      </c>
    </row>
    <row r="14" spans="1:16" ht="16" x14ac:dyDescent="0.5">
      <c r="A14" s="8">
        <v>44896</v>
      </c>
      <c r="B14" s="20">
        <f>'Actual EEC rev.- class (EE&amp;C-1)'!F20</f>
        <v>858995.23499413836</v>
      </c>
      <c r="C14" s="20">
        <f>+'Monthly Revenue Req. (EE&amp;C-2)'!R19</f>
        <v>787979.31067068141</v>
      </c>
      <c r="D14" s="10">
        <f t="shared" si="6"/>
        <v>8441423.7639605813</v>
      </c>
      <c r="E14" s="11">
        <f t="shared" si="0"/>
        <v>71015.924323456944</v>
      </c>
      <c r="F14" s="10">
        <f t="shared" si="1"/>
        <v>8512439.6882840376</v>
      </c>
      <c r="G14" s="10">
        <f t="shared" si="2"/>
        <v>8476931.7261223085</v>
      </c>
      <c r="H14" s="13">
        <v>0.28110000000000002</v>
      </c>
      <c r="I14" s="21">
        <f t="shared" si="3"/>
        <v>2382865.5099999998</v>
      </c>
      <c r="J14" s="10">
        <f t="shared" si="4"/>
        <v>6094066.2161223087</v>
      </c>
      <c r="K14" s="53">
        <v>4.0416666666666665E-3</v>
      </c>
      <c r="L14" s="86">
        <f t="shared" si="5"/>
        <v>24630.18</v>
      </c>
      <c r="M14" s="12">
        <f>SUM($L$9:L14)+F14</f>
        <v>8635863.4082840383</v>
      </c>
    </row>
    <row r="15" spans="1:16" ht="13.4" customHeight="1" x14ac:dyDescent="0.35">
      <c r="A15" s="9" t="s">
        <v>65</v>
      </c>
      <c r="B15" s="12">
        <f>SUM(B9:B14)</f>
        <v>6329467.2927080896</v>
      </c>
      <c r="C15" s="12">
        <f>SUM(C9:C14)</f>
        <v>4341065.4944240497</v>
      </c>
      <c r="L15" s="12"/>
    </row>
    <row r="16" spans="1:16" x14ac:dyDescent="0.35">
      <c r="A16" s="84"/>
    </row>
    <row r="17" spans="1:13" x14ac:dyDescent="0.35">
      <c r="A17" s="59" t="s">
        <v>168</v>
      </c>
    </row>
    <row r="18" spans="1:13" x14ac:dyDescent="0.35">
      <c r="B18" s="105" t="s">
        <v>169</v>
      </c>
      <c r="C18" s="105"/>
      <c r="D18" s="105"/>
    </row>
    <row r="19" spans="1:13" x14ac:dyDescent="0.35">
      <c r="B19" s="2" t="s">
        <v>170</v>
      </c>
      <c r="C19" s="2" t="s">
        <v>171</v>
      </c>
      <c r="D19" s="2" t="s">
        <v>172</v>
      </c>
    </row>
    <row r="20" spans="1:13" x14ac:dyDescent="0.35">
      <c r="A20" s="64" t="s">
        <v>24</v>
      </c>
      <c r="B20" s="96" t="s">
        <v>173</v>
      </c>
      <c r="C20" s="96" t="s">
        <v>174</v>
      </c>
      <c r="D20" s="96" t="s">
        <v>27</v>
      </c>
    </row>
    <row r="21" spans="1:13" x14ac:dyDescent="0.35">
      <c r="A21" s="8">
        <v>44927</v>
      </c>
      <c r="B21" s="10">
        <v>1727018655.3008308</v>
      </c>
      <c r="C21" s="62">
        <v>4.5600000000000003E-4</v>
      </c>
      <c r="D21" s="10">
        <f>ROUND(B21*C21,2)</f>
        <v>787520.51</v>
      </c>
    </row>
    <row r="22" spans="1:13" x14ac:dyDescent="0.35">
      <c r="A22" s="8">
        <v>44958</v>
      </c>
      <c r="B22" s="10">
        <v>1666686465.7448733</v>
      </c>
      <c r="C22" s="62">
        <v>4.5600000000000003E-4</v>
      </c>
      <c r="D22" s="10">
        <f t="shared" ref="D22:D26" si="7">ROUND(B22*C22,2)</f>
        <v>760009.03</v>
      </c>
    </row>
    <row r="23" spans="1:13" x14ac:dyDescent="0.35">
      <c r="A23" s="8">
        <v>44986</v>
      </c>
      <c r="B23" s="10">
        <v>1606144885.5123672</v>
      </c>
      <c r="C23" s="62">
        <v>4.5600000000000003E-4</v>
      </c>
      <c r="D23" s="10">
        <f t="shared" si="7"/>
        <v>732402.07</v>
      </c>
    </row>
    <row r="24" spans="1:13" x14ac:dyDescent="0.35">
      <c r="A24" s="8">
        <v>45017</v>
      </c>
      <c r="B24" s="10">
        <v>1440899207.8342209</v>
      </c>
      <c r="C24" s="62">
        <v>4.5600000000000003E-4</v>
      </c>
      <c r="D24" s="10">
        <f t="shared" si="7"/>
        <v>657050.04</v>
      </c>
    </row>
    <row r="25" spans="1:13" x14ac:dyDescent="0.35">
      <c r="A25" s="8">
        <v>45047</v>
      </c>
      <c r="B25" s="10">
        <v>1350429135.7070065</v>
      </c>
      <c r="C25" s="62">
        <v>4.5600000000000003E-4</v>
      </c>
      <c r="D25" s="10">
        <f t="shared" si="7"/>
        <v>615795.68999999994</v>
      </c>
    </row>
    <row r="26" spans="1:13" ht="16" x14ac:dyDescent="0.5">
      <c r="A26" s="8">
        <v>45078</v>
      </c>
      <c r="B26" s="20">
        <v>1586981177.1474171</v>
      </c>
      <c r="C26" s="62">
        <v>4.5600000000000003E-4</v>
      </c>
      <c r="D26" s="20">
        <f t="shared" si="7"/>
        <v>723663.42</v>
      </c>
    </row>
    <row r="27" spans="1:13" x14ac:dyDescent="0.35">
      <c r="A27" s="9" t="s">
        <v>18</v>
      </c>
      <c r="B27" s="60">
        <f>SUM(B21:B26)</f>
        <v>9378159527.2467155</v>
      </c>
      <c r="D27" s="60">
        <f>SUM(D21:D26)</f>
        <v>4276440.76</v>
      </c>
    </row>
    <row r="28" spans="1:13" ht="22.75" customHeight="1" x14ac:dyDescent="0.35">
      <c r="A28" s="84"/>
    </row>
    <row r="29" spans="1:13" x14ac:dyDescent="0.35">
      <c r="D29" s="2" t="s">
        <v>70</v>
      </c>
      <c r="E29" s="2" t="s">
        <v>60</v>
      </c>
      <c r="F29" s="2" t="s">
        <v>61</v>
      </c>
      <c r="M29" s="2" t="s">
        <v>42</v>
      </c>
    </row>
    <row r="30" spans="1:13" x14ac:dyDescent="0.35">
      <c r="B30" s="1"/>
      <c r="C30" s="2" t="s">
        <v>172</v>
      </c>
      <c r="D30" s="2" t="s">
        <v>9</v>
      </c>
      <c r="E30" s="2" t="s">
        <v>63</v>
      </c>
      <c r="F30" s="2" t="s">
        <v>9</v>
      </c>
      <c r="G30" s="2" t="s">
        <v>64</v>
      </c>
      <c r="J30" s="2" t="s">
        <v>65</v>
      </c>
      <c r="K30" s="2" t="s">
        <v>66</v>
      </c>
      <c r="L30" s="2" t="s">
        <v>67</v>
      </c>
      <c r="M30" s="2" t="s">
        <v>68</v>
      </c>
    </row>
    <row r="31" spans="1:13" x14ac:dyDescent="0.35">
      <c r="B31" s="2" t="s">
        <v>172</v>
      </c>
      <c r="C31" s="2" t="s">
        <v>79</v>
      </c>
      <c r="D31" s="2" t="s">
        <v>80</v>
      </c>
      <c r="E31" s="2" t="s">
        <v>167</v>
      </c>
      <c r="F31" s="2" t="s">
        <v>69</v>
      </c>
      <c r="G31" s="2" t="s">
        <v>70</v>
      </c>
      <c r="H31" s="2" t="s">
        <v>41</v>
      </c>
      <c r="I31" s="2" t="s">
        <v>42</v>
      </c>
      <c r="J31" s="2" t="s">
        <v>71</v>
      </c>
      <c r="K31" s="2" t="s">
        <v>67</v>
      </c>
      <c r="L31" s="2" t="s">
        <v>72</v>
      </c>
      <c r="M31" s="2" t="s">
        <v>167</v>
      </c>
    </row>
    <row r="32" spans="1:13" x14ac:dyDescent="0.35">
      <c r="A32" s="64" t="s">
        <v>24</v>
      </c>
      <c r="B32" s="17" t="s">
        <v>27</v>
      </c>
      <c r="C32" s="17" t="s">
        <v>55</v>
      </c>
      <c r="D32" s="17" t="s">
        <v>73</v>
      </c>
      <c r="E32" s="96" t="s">
        <v>74</v>
      </c>
      <c r="F32" s="17" t="s">
        <v>73</v>
      </c>
      <c r="G32" s="17" t="s">
        <v>75</v>
      </c>
      <c r="H32" s="17" t="s">
        <v>76</v>
      </c>
      <c r="I32" s="17" t="s">
        <v>41</v>
      </c>
      <c r="J32" s="17" t="s">
        <v>77</v>
      </c>
      <c r="K32" s="17" t="s">
        <v>78</v>
      </c>
      <c r="L32" s="17" t="s">
        <v>53</v>
      </c>
      <c r="M32" s="17" t="s">
        <v>75</v>
      </c>
    </row>
    <row r="34" spans="1:13" x14ac:dyDescent="0.35">
      <c r="A34" s="97">
        <v>44927</v>
      </c>
      <c r="B34" s="98">
        <f>D21</f>
        <v>787520.51</v>
      </c>
      <c r="C34" s="86">
        <f>'Monthly Revenue Req. (EE&amp;C-2)'!R30</f>
        <v>1207082.8976549578</v>
      </c>
      <c r="D34" s="86">
        <f>+F14</f>
        <v>8512439.6882840376</v>
      </c>
      <c r="E34" s="11">
        <f>-C34+B34</f>
        <v>-419562.38765495783</v>
      </c>
      <c r="F34" s="101">
        <f>SUM(D34:E34)</f>
        <v>8092877.3006290793</v>
      </c>
      <c r="G34" s="100">
        <f>(F34+D34)/2</f>
        <v>8302658.4944565585</v>
      </c>
      <c r="H34" s="102">
        <v>0.28110000000000002</v>
      </c>
      <c r="I34" s="21">
        <f>ROUND(G34*H34,2)</f>
        <v>2333877.2999999998</v>
      </c>
      <c r="J34" s="100">
        <f>G34-I34</f>
        <v>5968781.1944565587</v>
      </c>
      <c r="K34" s="53">
        <v>4.0416666666666665E-3</v>
      </c>
      <c r="L34" s="101">
        <f>ROUND(J34*K34,2)</f>
        <v>24123.82</v>
      </c>
      <c r="M34" s="100">
        <f>SUM($L$9:L34)+F34</f>
        <v>8240424.8406290794</v>
      </c>
    </row>
    <row r="35" spans="1:13" x14ac:dyDescent="0.35">
      <c r="A35" s="97">
        <v>44958</v>
      </c>
      <c r="B35" s="98">
        <f t="shared" ref="B35:B39" si="8">D22</f>
        <v>760009.03</v>
      </c>
      <c r="C35" s="86">
        <f>'Monthly Revenue Req. (EE&amp;C-2)'!R31</f>
        <v>1281442.7124008443</v>
      </c>
      <c r="D35" s="86">
        <f>+F34</f>
        <v>8092877.3006290793</v>
      </c>
      <c r="E35" s="11">
        <f t="shared" ref="E35:E39" si="9">-C35+B35</f>
        <v>-521433.68240084429</v>
      </c>
      <c r="F35" s="101">
        <f t="shared" ref="F35:F39" si="10">SUM(D35:E35)</f>
        <v>7571443.6182282353</v>
      </c>
      <c r="G35" s="86">
        <f t="shared" ref="G35:G39" si="11">(F35+D35)/2</f>
        <v>7832160.4594286568</v>
      </c>
      <c r="H35" s="102">
        <v>0.28110000000000002</v>
      </c>
      <c r="I35" s="21">
        <f t="shared" ref="I35:I39" si="12">ROUND(G35*H35,2)</f>
        <v>2201620.31</v>
      </c>
      <c r="J35" s="86">
        <f t="shared" ref="J35:J39" si="13">G35-I35</f>
        <v>5630540.1494286563</v>
      </c>
      <c r="K35" s="53">
        <v>4.0416666666666665E-3</v>
      </c>
      <c r="L35" s="86">
        <f t="shared" ref="L35:L39" si="14">ROUND(J35*K35,2)</f>
        <v>22756.77</v>
      </c>
      <c r="M35" s="86">
        <f>SUM($L$9:L35)+F35</f>
        <v>7741747.9282282349</v>
      </c>
    </row>
    <row r="36" spans="1:13" x14ac:dyDescent="0.35">
      <c r="A36" s="97">
        <v>44986</v>
      </c>
      <c r="B36" s="98">
        <f t="shared" si="8"/>
        <v>732402.07</v>
      </c>
      <c r="C36" s="86">
        <f>'Monthly Revenue Req. (EE&amp;C-2)'!R32</f>
        <v>1362489.1440310716</v>
      </c>
      <c r="D36" s="86">
        <f t="shared" ref="D36:D39" si="15">+F35</f>
        <v>7571443.6182282353</v>
      </c>
      <c r="E36" s="11">
        <f t="shared" si="9"/>
        <v>-630087.07403107162</v>
      </c>
      <c r="F36" s="101">
        <f t="shared" si="10"/>
        <v>6941356.5441971635</v>
      </c>
      <c r="G36" s="86">
        <f t="shared" si="11"/>
        <v>7256400.0812126994</v>
      </c>
      <c r="H36" s="102">
        <v>0.28110000000000002</v>
      </c>
      <c r="I36" s="21">
        <f t="shared" si="12"/>
        <v>2039774.06</v>
      </c>
      <c r="J36" s="86">
        <f t="shared" si="13"/>
        <v>5216626.0212126989</v>
      </c>
      <c r="K36" s="53">
        <v>4.0416666666666665E-3</v>
      </c>
      <c r="L36" s="86">
        <f t="shared" si="14"/>
        <v>21083.86</v>
      </c>
      <c r="M36" s="86">
        <f>SUM($L$9:L36)+F36</f>
        <v>7132744.7141971635</v>
      </c>
    </row>
    <row r="37" spans="1:13" x14ac:dyDescent="0.35">
      <c r="A37" s="97">
        <v>45017</v>
      </c>
      <c r="B37" s="98">
        <f t="shared" si="8"/>
        <v>657050.04</v>
      </c>
      <c r="C37" s="86">
        <f>'Monthly Revenue Req. (EE&amp;C-2)'!R33</f>
        <v>1436318.9997448004</v>
      </c>
      <c r="D37" s="86">
        <f t="shared" si="15"/>
        <v>6941356.5441971635</v>
      </c>
      <c r="E37" s="11">
        <f t="shared" si="9"/>
        <v>-779268.95974480035</v>
      </c>
      <c r="F37" s="101">
        <f t="shared" si="10"/>
        <v>6162087.5844523627</v>
      </c>
      <c r="G37" s="86">
        <f t="shared" si="11"/>
        <v>6551722.0643247627</v>
      </c>
      <c r="H37" s="102">
        <v>0.28110000000000002</v>
      </c>
      <c r="I37" s="21">
        <f t="shared" si="12"/>
        <v>1841689.07</v>
      </c>
      <c r="J37" s="86">
        <f t="shared" si="13"/>
        <v>4710032.9943247624</v>
      </c>
      <c r="K37" s="53">
        <v>4.0416666666666665E-3</v>
      </c>
      <c r="L37" s="86">
        <f t="shared" si="14"/>
        <v>19036.38</v>
      </c>
      <c r="M37" s="86">
        <f>SUM($L$9:L37)+F37</f>
        <v>6372512.1344523625</v>
      </c>
    </row>
    <row r="38" spans="1:13" x14ac:dyDescent="0.35">
      <c r="A38" s="97">
        <v>45047</v>
      </c>
      <c r="B38" s="98">
        <f t="shared" si="8"/>
        <v>615795.68999999994</v>
      </c>
      <c r="C38" s="86">
        <f>'Monthly Revenue Req. (EE&amp;C-2)'!R34</f>
        <v>1513484.3198384556</v>
      </c>
      <c r="D38" s="86">
        <f t="shared" si="15"/>
        <v>6162087.5844523627</v>
      </c>
      <c r="E38" s="11">
        <f t="shared" si="9"/>
        <v>-897688.6298384557</v>
      </c>
      <c r="F38" s="101">
        <f t="shared" si="10"/>
        <v>5264398.9546139073</v>
      </c>
      <c r="G38" s="86">
        <f t="shared" si="11"/>
        <v>5713243.269533135</v>
      </c>
      <c r="H38" s="102">
        <v>0.28110000000000002</v>
      </c>
      <c r="I38" s="21">
        <f t="shared" si="12"/>
        <v>1605992.68</v>
      </c>
      <c r="J38" s="86">
        <f t="shared" si="13"/>
        <v>4107250.5895331353</v>
      </c>
      <c r="K38" s="53">
        <v>4.0416666666666665E-3</v>
      </c>
      <c r="L38" s="86">
        <f t="shared" si="14"/>
        <v>16600.14</v>
      </c>
      <c r="M38" s="86">
        <f>SUM($L$9:L38)+F38</f>
        <v>5491423.6446139077</v>
      </c>
    </row>
    <row r="39" spans="1:13" ht="16" x14ac:dyDescent="0.5">
      <c r="A39" s="97">
        <v>45078</v>
      </c>
      <c r="B39" s="99">
        <f t="shared" si="8"/>
        <v>723663.42</v>
      </c>
      <c r="C39" s="20">
        <f>'Monthly Revenue Req. (EE&amp;C-2)'!R35</f>
        <v>1590237.800211404</v>
      </c>
      <c r="D39" s="86">
        <f t="shared" si="15"/>
        <v>5264398.9546139073</v>
      </c>
      <c r="E39" s="11">
        <f t="shared" si="9"/>
        <v>-866574.38021140394</v>
      </c>
      <c r="F39" s="101">
        <f t="shared" si="10"/>
        <v>4397824.5744025037</v>
      </c>
      <c r="G39" s="86">
        <f t="shared" si="11"/>
        <v>4831111.7645082055</v>
      </c>
      <c r="H39" s="102">
        <v>0.28110000000000002</v>
      </c>
      <c r="I39" s="21">
        <f t="shared" si="12"/>
        <v>1358025.52</v>
      </c>
      <c r="J39" s="86">
        <f t="shared" si="13"/>
        <v>3473086.2445082054</v>
      </c>
      <c r="K39" s="53">
        <v>4.0416666666666665E-3</v>
      </c>
      <c r="L39" s="20">
        <f t="shared" si="14"/>
        <v>14037.06</v>
      </c>
      <c r="M39" s="86">
        <f>SUM($L$9:L39)+F39</f>
        <v>4638886.3244025037</v>
      </c>
    </row>
    <row r="40" spans="1:13" x14ac:dyDescent="0.35">
      <c r="A40" s="9" t="s">
        <v>18</v>
      </c>
      <c r="B40" s="98">
        <f>SUM(B34:B39)</f>
        <v>4276440.76</v>
      </c>
      <c r="C40" s="60">
        <f>SUM(C34:C39)</f>
        <v>8391055.8738815337</v>
      </c>
      <c r="D40" s="10"/>
      <c r="L40" s="12">
        <f>SUM(L34:L39)</f>
        <v>117638.03</v>
      </c>
    </row>
    <row r="42" spans="1:13" x14ac:dyDescent="0.35">
      <c r="A42" t="s">
        <v>81</v>
      </c>
    </row>
  </sheetData>
  <mergeCells count="1">
    <mergeCell ref="B18:D18"/>
  </mergeCells>
  <pageMargins left="0.7" right="0.7" top="0.75" bottom="0.75" header="0.3" footer="0.3"/>
  <pageSetup scale="78" orientation="landscape" horizontalDpi="4294967293" vertic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E24193-A992-4875-99AD-716D7AF4240A}">
  <sheetPr>
    <pageSetUpPr fitToPage="1"/>
  </sheetPr>
  <dimension ref="A1:R28"/>
  <sheetViews>
    <sheetView workbookViewId="0">
      <selection activeCell="G29" sqref="G29"/>
    </sheetView>
  </sheetViews>
  <sheetFormatPr defaultRowHeight="14.5" x14ac:dyDescent="0.35"/>
  <cols>
    <col min="2" max="4" width="17" bestFit="1" customWidth="1"/>
    <col min="5" max="5" width="12.1796875" bestFit="1" customWidth="1"/>
    <col min="6" max="6" width="11.1796875" bestFit="1" customWidth="1"/>
    <col min="7" max="7" width="11.81640625" bestFit="1" customWidth="1"/>
    <col min="8" max="8" width="11.453125" customWidth="1"/>
    <col min="9" max="9" width="12.1796875" bestFit="1" customWidth="1"/>
    <col min="10" max="10" width="11.81640625" bestFit="1" customWidth="1"/>
    <col min="11" max="12" width="12.54296875" bestFit="1" customWidth="1"/>
    <col min="13" max="13" width="13.54296875" customWidth="1"/>
    <col min="14" max="14" width="12.54296875" bestFit="1" customWidth="1"/>
    <col min="15" max="15" width="11.54296875" bestFit="1" customWidth="1"/>
    <col min="16" max="16" width="11" bestFit="1" customWidth="1"/>
    <col min="17" max="17" width="12.1796875" bestFit="1" customWidth="1"/>
    <col min="18" max="18" width="11.81640625" bestFit="1" customWidth="1"/>
  </cols>
  <sheetData>
    <row r="1" spans="1:18" ht="15.5" x14ac:dyDescent="0.35">
      <c r="A1" s="6" t="s">
        <v>0</v>
      </c>
      <c r="R1" s="92" t="s">
        <v>163</v>
      </c>
    </row>
    <row r="2" spans="1:18" ht="15.5" x14ac:dyDescent="0.35">
      <c r="A2" s="7" t="s">
        <v>1</v>
      </c>
      <c r="R2" s="92" t="s">
        <v>227</v>
      </c>
    </row>
    <row r="3" spans="1:18" x14ac:dyDescent="0.35">
      <c r="A3" s="3" t="s">
        <v>175</v>
      </c>
    </row>
    <row r="6" spans="1:18" ht="15.5" x14ac:dyDescent="0.35">
      <c r="A6" s="7"/>
      <c r="B6" s="104" t="s">
        <v>29</v>
      </c>
      <c r="C6" s="104"/>
      <c r="D6" s="104"/>
      <c r="E6" s="104"/>
      <c r="F6" s="104"/>
      <c r="G6" s="104"/>
      <c r="H6" s="104"/>
      <c r="I6" s="104"/>
      <c r="J6" s="104"/>
      <c r="K6" s="2"/>
      <c r="L6" s="104" t="s">
        <v>30</v>
      </c>
      <c r="M6" s="104"/>
      <c r="N6" s="104"/>
    </row>
    <row r="7" spans="1:18" x14ac:dyDescent="0.35">
      <c r="C7" s="2" t="s">
        <v>31</v>
      </c>
      <c r="D7" s="2" t="s">
        <v>32</v>
      </c>
      <c r="F7" s="2" t="s">
        <v>31</v>
      </c>
      <c r="G7" s="2" t="s">
        <v>32</v>
      </c>
    </row>
    <row r="8" spans="1:18" ht="15" thickBot="1" x14ac:dyDescent="0.4">
      <c r="B8" s="2" t="s">
        <v>32</v>
      </c>
      <c r="C8" s="2" t="s">
        <v>32</v>
      </c>
      <c r="D8" s="2" t="s">
        <v>33</v>
      </c>
      <c r="E8" s="2" t="s">
        <v>34</v>
      </c>
      <c r="F8" s="2" t="s">
        <v>34</v>
      </c>
      <c r="G8" s="2" t="s">
        <v>35</v>
      </c>
      <c r="K8" s="2" t="s">
        <v>36</v>
      </c>
      <c r="N8" s="3" t="s">
        <v>37</v>
      </c>
    </row>
    <row r="9" spans="1:18" ht="15" thickBot="1" x14ac:dyDescent="0.4">
      <c r="B9" s="2" t="s">
        <v>33</v>
      </c>
      <c r="C9" s="2" t="s">
        <v>33</v>
      </c>
      <c r="D9" s="2" t="s">
        <v>38</v>
      </c>
      <c r="E9" s="2" t="s">
        <v>39</v>
      </c>
      <c r="F9" s="2" t="s">
        <v>39</v>
      </c>
      <c r="G9" s="2" t="s">
        <v>40</v>
      </c>
      <c r="I9" s="2" t="s">
        <v>31</v>
      </c>
      <c r="J9" s="2" t="s">
        <v>18</v>
      </c>
      <c r="K9" s="2" t="s">
        <v>18</v>
      </c>
      <c r="L9" s="2" t="s">
        <v>41</v>
      </c>
      <c r="M9" s="2" t="s">
        <v>42</v>
      </c>
      <c r="N9" s="2" t="s">
        <v>43</v>
      </c>
      <c r="P9" s="16">
        <v>7.7812216821069235E-3</v>
      </c>
      <c r="Q9" s="15" t="s">
        <v>44</v>
      </c>
    </row>
    <row r="10" spans="1:18" x14ac:dyDescent="0.35">
      <c r="B10" s="2" t="s">
        <v>38</v>
      </c>
      <c r="C10" s="2" t="s">
        <v>38</v>
      </c>
      <c r="D10" s="2" t="s">
        <v>45</v>
      </c>
      <c r="E10" s="2" t="s">
        <v>40</v>
      </c>
      <c r="F10" s="2" t="s">
        <v>40</v>
      </c>
      <c r="G10" s="2" t="s">
        <v>46</v>
      </c>
      <c r="H10" s="2" t="s">
        <v>18</v>
      </c>
      <c r="I10" s="2" t="s">
        <v>18</v>
      </c>
      <c r="J10" s="2" t="s">
        <v>46</v>
      </c>
      <c r="K10" s="2" t="s">
        <v>46</v>
      </c>
      <c r="L10" s="2" t="s">
        <v>46</v>
      </c>
      <c r="M10" s="2" t="s">
        <v>47</v>
      </c>
      <c r="N10" s="2" t="s">
        <v>47</v>
      </c>
      <c r="O10" s="2" t="s">
        <v>48</v>
      </c>
      <c r="P10" s="2" t="s">
        <v>49</v>
      </c>
      <c r="Q10" s="2" t="s">
        <v>50</v>
      </c>
      <c r="R10" s="2" t="s">
        <v>51</v>
      </c>
    </row>
    <row r="11" spans="1:18" x14ac:dyDescent="0.35">
      <c r="A11" s="63" t="s">
        <v>24</v>
      </c>
      <c r="B11" s="17" t="s">
        <v>52</v>
      </c>
      <c r="C11" s="17" t="s">
        <v>52</v>
      </c>
      <c r="D11" s="17" t="s">
        <v>53</v>
      </c>
      <c r="E11" s="17" t="s">
        <v>52</v>
      </c>
      <c r="F11" s="17" t="s">
        <v>52</v>
      </c>
      <c r="G11" s="17" t="s">
        <v>53</v>
      </c>
      <c r="H11" s="17" t="s">
        <v>52</v>
      </c>
      <c r="I11" s="17" t="s">
        <v>52</v>
      </c>
      <c r="J11" s="17" t="s">
        <v>53</v>
      </c>
      <c r="K11" s="17" t="s">
        <v>53</v>
      </c>
      <c r="L11" s="17" t="s">
        <v>53</v>
      </c>
      <c r="M11" s="17" t="s">
        <v>41</v>
      </c>
      <c r="N11" s="17" t="s">
        <v>41</v>
      </c>
      <c r="O11" s="17" t="s">
        <v>52</v>
      </c>
      <c r="P11" s="17" t="s">
        <v>54</v>
      </c>
      <c r="Q11" s="17" t="s">
        <v>53</v>
      </c>
      <c r="R11" s="17" t="s">
        <v>55</v>
      </c>
    </row>
    <row r="12" spans="1:18" x14ac:dyDescent="0.35">
      <c r="A12" s="8">
        <v>45107</v>
      </c>
      <c r="C12" s="10">
        <f>'Monthly Revenue Req. (EE&amp;C-2)'!C35</f>
        <v>58606184.520000011</v>
      </c>
      <c r="F12" s="10">
        <f>'Monthly Revenue Req. (EE&amp;C-2)'!F35</f>
        <v>1131562.3599999999</v>
      </c>
      <c r="I12" s="60">
        <f>F12+C12</f>
        <v>59737746.88000001</v>
      </c>
      <c r="K12" s="10">
        <f>'Monthly Revenue Req. (EE&amp;C-2)'!K35</f>
        <v>4726499.7487916676</v>
      </c>
      <c r="N12" s="10">
        <f>'Monthly Revenue Req. (EE&amp;C-2)'!N35</f>
        <v>15353355.282080637</v>
      </c>
    </row>
    <row r="13" spans="1:18" x14ac:dyDescent="0.35">
      <c r="A13" s="8">
        <v>45108</v>
      </c>
      <c r="B13" s="10">
        <v>5853718.8810734591</v>
      </c>
      <c r="C13" s="60">
        <f>C12+B13</f>
        <v>64459903.401073471</v>
      </c>
      <c r="D13" s="10">
        <f>+ROUND(C13/10/12,0)</f>
        <v>537166</v>
      </c>
      <c r="E13" s="11">
        <v>309369.08846227074</v>
      </c>
      <c r="F13" s="60">
        <f>F12+E13</f>
        <v>1440931.4484622707</v>
      </c>
      <c r="G13" s="10">
        <f>'Monthly Revenue Req. (EE&amp;C-2)'!AL87</f>
        <v>65300.927916666653</v>
      </c>
      <c r="H13" s="10">
        <f t="shared" ref="H13:H24" si="0">E13+B13</f>
        <v>6163087.9695357298</v>
      </c>
      <c r="I13" s="60">
        <f>I12+H13</f>
        <v>65900834.849535741</v>
      </c>
      <c r="J13" s="10">
        <f>+G13+D13</f>
        <v>602466.92791666661</v>
      </c>
      <c r="K13" s="60">
        <f>J13+K12</f>
        <v>5328966.6767083341</v>
      </c>
      <c r="L13" s="10">
        <f>+H13</f>
        <v>6163087.9695357298</v>
      </c>
      <c r="M13" s="10">
        <f>(L13-J13)*0.2811</f>
        <v>1563090.5747991188</v>
      </c>
      <c r="N13" s="60">
        <f>N12+M13</f>
        <v>16916445.856879756</v>
      </c>
      <c r="O13" s="10">
        <f>+I13-K13-N13</f>
        <v>43655422.315947652</v>
      </c>
      <c r="P13" s="10">
        <f>O13*$P$9</f>
        <v>339692.51866638631</v>
      </c>
      <c r="Q13" s="11">
        <v>818669.97932366189</v>
      </c>
      <c r="R13" s="10">
        <f>+Q13+P13+J13</f>
        <v>1760829.425906715</v>
      </c>
    </row>
    <row r="14" spans="1:18" x14ac:dyDescent="0.35">
      <c r="A14" s="8">
        <v>45139</v>
      </c>
      <c r="B14" s="10">
        <v>5853718.8810734591</v>
      </c>
      <c r="C14" s="60">
        <f t="shared" ref="C14:C24" si="1">C13+B14</f>
        <v>70313622.282146931</v>
      </c>
      <c r="D14" s="10">
        <f t="shared" ref="D14:D24" si="2">+ROUND(C14/10/12,0)</f>
        <v>585947</v>
      </c>
      <c r="E14" s="10">
        <v>309369.08846227074</v>
      </c>
      <c r="F14" s="60">
        <f t="shared" ref="F14:F24" si="3">F13+E14</f>
        <v>1750300.5369245415</v>
      </c>
      <c r="G14" s="10">
        <f>'Monthly Revenue Req. (EE&amp;C-2)'!AL88</f>
        <v>73725.847916666651</v>
      </c>
      <c r="H14" s="10">
        <f t="shared" si="0"/>
        <v>6163087.9695357298</v>
      </c>
      <c r="I14" s="60">
        <f t="shared" ref="I14:I24" si="4">I13+H14</f>
        <v>72063922.819071472</v>
      </c>
      <c r="J14" s="10">
        <f t="shared" ref="J14:J24" si="5">+G14+D14</f>
        <v>659672.84791666665</v>
      </c>
      <c r="K14" s="60">
        <f t="shared" ref="K14:K23" si="6">J14+K13</f>
        <v>5988639.5246250005</v>
      </c>
      <c r="L14" s="10">
        <f t="shared" ref="L14:L24" si="7">+H14</f>
        <v>6163087.9695357298</v>
      </c>
      <c r="M14" s="10">
        <f t="shared" ref="M14:M25" si="8">(L14-J14)*0.2811</f>
        <v>1547009.9906871188</v>
      </c>
      <c r="N14" s="60">
        <f t="shared" ref="N14:N24" si="9">N13+M14</f>
        <v>18463455.847566873</v>
      </c>
      <c r="O14" s="10">
        <f t="shared" ref="O14:O24" si="10">+I14-K14-N14</f>
        <v>47611827.446879596</v>
      </c>
      <c r="P14" s="10">
        <f t="shared" ref="P14:P24" si="11">O14*$P$9</f>
        <v>370478.18405439303</v>
      </c>
      <c r="Q14" s="10">
        <v>818669.97932366189</v>
      </c>
      <c r="R14" s="10">
        <f t="shared" ref="R14:R24" si="12">+Q14+P14+J14</f>
        <v>1848821.0112947216</v>
      </c>
    </row>
    <row r="15" spans="1:18" x14ac:dyDescent="0.35">
      <c r="A15" s="8">
        <v>45170</v>
      </c>
      <c r="B15" s="10">
        <v>5853718.8810734591</v>
      </c>
      <c r="C15" s="60">
        <f t="shared" si="1"/>
        <v>76167341.163220391</v>
      </c>
      <c r="D15" s="10">
        <f t="shared" si="2"/>
        <v>634728</v>
      </c>
      <c r="E15" s="10">
        <v>309369.08846227074</v>
      </c>
      <c r="F15" s="60">
        <f t="shared" si="3"/>
        <v>2059669.6253868123</v>
      </c>
      <c r="G15" s="10">
        <f>'Monthly Revenue Req. (EE&amp;C-2)'!AL89</f>
        <v>79974.625416666662</v>
      </c>
      <c r="H15" s="10">
        <f t="shared" si="0"/>
        <v>6163087.9695357298</v>
      </c>
      <c r="I15" s="60">
        <f t="shared" si="4"/>
        <v>78227010.788607195</v>
      </c>
      <c r="J15" s="10">
        <f t="shared" si="5"/>
        <v>714702.62541666662</v>
      </c>
      <c r="K15" s="60">
        <f t="shared" si="6"/>
        <v>6703342.1500416668</v>
      </c>
      <c r="L15" s="10">
        <f t="shared" si="7"/>
        <v>6163087.9695357298</v>
      </c>
      <c r="M15" s="10">
        <f t="shared" si="8"/>
        <v>1531541.1202318689</v>
      </c>
      <c r="N15" s="60">
        <f t="shared" si="9"/>
        <v>19994996.967798743</v>
      </c>
      <c r="O15" s="10">
        <f t="shared" si="10"/>
        <v>51528671.670766786</v>
      </c>
      <c r="P15" s="10">
        <f t="shared" si="11"/>
        <v>400956.0172547393</v>
      </c>
      <c r="Q15" s="10">
        <v>818669.97932366189</v>
      </c>
      <c r="R15" s="10">
        <f t="shared" si="12"/>
        <v>1934328.6219950677</v>
      </c>
    </row>
    <row r="16" spans="1:18" x14ac:dyDescent="0.35">
      <c r="A16" s="8">
        <v>45200</v>
      </c>
      <c r="B16" s="10">
        <v>5853718.8810734591</v>
      </c>
      <c r="C16" s="60">
        <f t="shared" si="1"/>
        <v>82021060.044293851</v>
      </c>
      <c r="D16" s="10">
        <f t="shared" si="2"/>
        <v>683509</v>
      </c>
      <c r="E16" s="10">
        <v>309369.08846227074</v>
      </c>
      <c r="F16" s="60">
        <f t="shared" si="3"/>
        <v>2369038.7138490831</v>
      </c>
      <c r="G16" s="10">
        <f>'Monthly Revenue Req. (EE&amp;C-2)'!AL90</f>
        <v>64783.556249999987</v>
      </c>
      <c r="H16" s="10">
        <f t="shared" si="0"/>
        <v>6163087.9695357298</v>
      </c>
      <c r="I16" s="60">
        <f t="shared" si="4"/>
        <v>84390098.758142918</v>
      </c>
      <c r="J16" s="10">
        <f t="shared" si="5"/>
        <v>748292.55625000002</v>
      </c>
      <c r="K16" s="60">
        <f t="shared" si="6"/>
        <v>7451634.7062916672</v>
      </c>
      <c r="L16" s="10">
        <f t="shared" si="7"/>
        <v>6163087.9695357298</v>
      </c>
      <c r="M16" s="10">
        <f t="shared" si="8"/>
        <v>1522098.9906746186</v>
      </c>
      <c r="N16" s="60">
        <f t="shared" si="9"/>
        <v>21517095.958473362</v>
      </c>
      <c r="O16" s="10">
        <f t="shared" si="10"/>
        <v>55421368.093377896</v>
      </c>
      <c r="P16" s="10">
        <f t="shared" si="11"/>
        <v>431245.95106022095</v>
      </c>
      <c r="Q16" s="10">
        <v>818669.97932366189</v>
      </c>
      <c r="R16" s="10">
        <f t="shared" si="12"/>
        <v>1998208.4866338829</v>
      </c>
    </row>
    <row r="17" spans="1:18" x14ac:dyDescent="0.35">
      <c r="A17" s="8">
        <v>45231</v>
      </c>
      <c r="B17" s="10">
        <v>5853718.8810734591</v>
      </c>
      <c r="C17" s="60">
        <f t="shared" si="1"/>
        <v>87874778.925367311</v>
      </c>
      <c r="D17" s="10">
        <f t="shared" si="2"/>
        <v>732290</v>
      </c>
      <c r="E17" s="10">
        <v>309369.08846227074</v>
      </c>
      <c r="F17" s="60">
        <f t="shared" si="3"/>
        <v>2678407.8023113539</v>
      </c>
      <c r="G17" s="10">
        <f>'Monthly Revenue Req. (EE&amp;C-2)'!AL91</f>
        <v>71612.410416666651</v>
      </c>
      <c r="H17" s="10">
        <f t="shared" si="0"/>
        <v>6163087.9695357298</v>
      </c>
      <c r="I17" s="60">
        <f t="shared" si="4"/>
        <v>90553186.727678642</v>
      </c>
      <c r="J17" s="10">
        <f t="shared" si="5"/>
        <v>803902.41041666665</v>
      </c>
      <c r="K17" s="60">
        <f t="shared" si="6"/>
        <v>8255537.1167083336</v>
      </c>
      <c r="L17" s="10">
        <f t="shared" si="7"/>
        <v>6163087.9695357298</v>
      </c>
      <c r="M17" s="10">
        <f t="shared" si="8"/>
        <v>1506467.0606683688</v>
      </c>
      <c r="N17" s="60">
        <f t="shared" si="9"/>
        <v>23023563.01914173</v>
      </c>
      <c r="O17" s="10">
        <f t="shared" si="10"/>
        <v>59274086.59182857</v>
      </c>
      <c r="P17" s="10">
        <f t="shared" si="11"/>
        <v>461224.80777541973</v>
      </c>
      <c r="Q17" s="10">
        <v>818669.97932366189</v>
      </c>
      <c r="R17" s="10">
        <f t="shared" si="12"/>
        <v>2083797.1975157482</v>
      </c>
    </row>
    <row r="18" spans="1:18" x14ac:dyDescent="0.35">
      <c r="A18" s="8">
        <v>45261</v>
      </c>
      <c r="B18" s="10">
        <v>5853718.8810734591</v>
      </c>
      <c r="C18" s="60">
        <f t="shared" si="1"/>
        <v>93728497.806440771</v>
      </c>
      <c r="D18" s="10">
        <f t="shared" si="2"/>
        <v>781071</v>
      </c>
      <c r="E18" s="10">
        <v>309369.08846227074</v>
      </c>
      <c r="F18" s="60">
        <f t="shared" si="3"/>
        <v>2987776.8907736246</v>
      </c>
      <c r="G18" s="10">
        <f>'Monthly Revenue Req. (EE&amp;C-2)'!AL92</f>
        <v>76634.981249999997</v>
      </c>
      <c r="H18" s="10">
        <f t="shared" si="0"/>
        <v>6163087.9695357298</v>
      </c>
      <c r="I18" s="60">
        <f t="shared" si="4"/>
        <v>96716274.697214365</v>
      </c>
      <c r="J18" s="10">
        <f t="shared" si="5"/>
        <v>857705.98124999995</v>
      </c>
      <c r="K18" s="60">
        <f t="shared" si="6"/>
        <v>9113243.0979583338</v>
      </c>
      <c r="L18" s="10">
        <f t="shared" si="7"/>
        <v>6163087.9695357298</v>
      </c>
      <c r="M18" s="10">
        <f t="shared" si="8"/>
        <v>1491342.8769071186</v>
      </c>
      <c r="N18" s="60">
        <f t="shared" si="9"/>
        <v>24514905.896048848</v>
      </c>
      <c r="O18" s="10">
        <f t="shared" si="10"/>
        <v>63088125.703207195</v>
      </c>
      <c r="P18" s="10">
        <f t="shared" si="11"/>
        <v>490902.69160528295</v>
      </c>
      <c r="Q18" s="10">
        <v>818669.97932366189</v>
      </c>
      <c r="R18" s="10">
        <f t="shared" si="12"/>
        <v>2167278.652178945</v>
      </c>
    </row>
    <row r="19" spans="1:18" x14ac:dyDescent="0.35">
      <c r="A19" s="8">
        <v>45292</v>
      </c>
      <c r="B19" s="10">
        <v>5853718.8810734591</v>
      </c>
      <c r="C19" s="60">
        <f t="shared" si="1"/>
        <v>99582216.687514231</v>
      </c>
      <c r="D19" s="10">
        <f t="shared" si="2"/>
        <v>829852</v>
      </c>
      <c r="E19" s="10">
        <v>309369.08846227074</v>
      </c>
      <c r="F19" s="60">
        <f t="shared" si="3"/>
        <v>3297145.9792358954</v>
      </c>
      <c r="G19" s="10">
        <f>'Monthly Revenue Req. (EE&amp;C-2)'!AL93</f>
        <v>63862.484374999993</v>
      </c>
      <c r="H19" s="10">
        <f t="shared" si="0"/>
        <v>6163087.9695357298</v>
      </c>
      <c r="I19" s="60">
        <f t="shared" si="4"/>
        <v>102879362.66675009</v>
      </c>
      <c r="J19" s="10">
        <f t="shared" si="5"/>
        <v>893714.484375</v>
      </c>
      <c r="K19" s="60">
        <f t="shared" si="6"/>
        <v>10006957.582333334</v>
      </c>
      <c r="L19" s="10">
        <f t="shared" si="7"/>
        <v>6163087.9695357298</v>
      </c>
      <c r="M19" s="10">
        <f t="shared" si="8"/>
        <v>1481220.8866786812</v>
      </c>
      <c r="N19" s="60">
        <f t="shared" si="9"/>
        <v>25996126.782727528</v>
      </c>
      <c r="O19" s="10">
        <f t="shared" si="10"/>
        <v>66876278.301689222</v>
      </c>
      <c r="P19" s="10">
        <f t="shared" si="11"/>
        <v>520379.14673972095</v>
      </c>
      <c r="Q19" s="10">
        <v>818669.97932366189</v>
      </c>
      <c r="R19" s="10">
        <f t="shared" si="12"/>
        <v>2232763.6104383827</v>
      </c>
    </row>
    <row r="20" spans="1:18" x14ac:dyDescent="0.35">
      <c r="A20" s="8">
        <v>45323</v>
      </c>
      <c r="B20" s="10">
        <v>5853718.8810734591</v>
      </c>
      <c r="C20" s="60">
        <f t="shared" si="1"/>
        <v>105435935.56858769</v>
      </c>
      <c r="D20" s="10">
        <f t="shared" si="2"/>
        <v>878633</v>
      </c>
      <c r="E20" s="10">
        <v>309369.08846227074</v>
      </c>
      <c r="F20" s="60">
        <f t="shared" si="3"/>
        <v>3606515.0676981662</v>
      </c>
      <c r="G20" s="10">
        <f>'Monthly Revenue Req. (EE&amp;C-2)'!AL94</f>
        <v>51089.987499999996</v>
      </c>
      <c r="H20" s="10">
        <f t="shared" si="0"/>
        <v>6163087.9695357298</v>
      </c>
      <c r="I20" s="60">
        <f t="shared" si="4"/>
        <v>109042450.63628581</v>
      </c>
      <c r="J20" s="10">
        <f t="shared" si="5"/>
        <v>929722.98750000005</v>
      </c>
      <c r="K20" s="60">
        <f t="shared" si="6"/>
        <v>10936680.569833335</v>
      </c>
      <c r="L20" s="10">
        <f t="shared" si="7"/>
        <v>6163087.9695357298</v>
      </c>
      <c r="M20" s="10">
        <f t="shared" si="8"/>
        <v>1471098.8964502439</v>
      </c>
      <c r="N20" s="60">
        <f t="shared" si="9"/>
        <v>27467225.679177772</v>
      </c>
      <c r="O20" s="10">
        <f t="shared" si="10"/>
        <v>70638544.387274697</v>
      </c>
      <c r="P20" s="10">
        <f t="shared" si="11"/>
        <v>549654.17317873426</v>
      </c>
      <c r="Q20" s="10">
        <v>818669.97932366189</v>
      </c>
      <c r="R20" s="10">
        <f t="shared" si="12"/>
        <v>2298047.140002396</v>
      </c>
    </row>
    <row r="21" spans="1:18" x14ac:dyDescent="0.35">
      <c r="A21" s="8">
        <v>45352</v>
      </c>
      <c r="B21" s="10">
        <v>5853718.8810734591</v>
      </c>
      <c r="C21" s="60">
        <f t="shared" si="1"/>
        <v>111289654.44966115</v>
      </c>
      <c r="D21" s="10">
        <f t="shared" si="2"/>
        <v>927414</v>
      </c>
      <c r="E21" s="10">
        <v>309369.08846227074</v>
      </c>
      <c r="F21" s="60">
        <f t="shared" si="3"/>
        <v>3915884.156160437</v>
      </c>
      <c r="G21" s="10">
        <f>'Monthly Revenue Req. (EE&amp;C-2)'!AL95</f>
        <v>38317.490624999999</v>
      </c>
      <c r="H21" s="10">
        <f t="shared" si="0"/>
        <v>6163087.9695357298</v>
      </c>
      <c r="I21" s="60">
        <f t="shared" si="4"/>
        <v>115205538.60582153</v>
      </c>
      <c r="J21" s="10">
        <f t="shared" si="5"/>
        <v>965731.49062499998</v>
      </c>
      <c r="K21" s="60">
        <f t="shared" si="6"/>
        <v>11902412.060458334</v>
      </c>
      <c r="L21" s="10">
        <f t="shared" si="7"/>
        <v>6163087.9695357298</v>
      </c>
      <c r="M21" s="10">
        <f t="shared" si="8"/>
        <v>1460976.9062218063</v>
      </c>
      <c r="N21" s="60">
        <f t="shared" si="9"/>
        <v>28928202.585399579</v>
      </c>
      <c r="O21" s="10">
        <f t="shared" si="10"/>
        <v>74374923.95996362</v>
      </c>
      <c r="P21" s="10">
        <f t="shared" si="11"/>
        <v>578727.77092232264</v>
      </c>
      <c r="Q21" s="10">
        <v>818669.97932366189</v>
      </c>
      <c r="R21" s="10">
        <f t="shared" si="12"/>
        <v>2363129.2408709847</v>
      </c>
    </row>
    <row r="22" spans="1:18" x14ac:dyDescent="0.35">
      <c r="A22" s="8">
        <v>45383</v>
      </c>
      <c r="B22" s="10">
        <v>5853718.8810734591</v>
      </c>
      <c r="C22" s="60">
        <f t="shared" si="1"/>
        <v>117143373.33073461</v>
      </c>
      <c r="D22" s="10">
        <f t="shared" si="2"/>
        <v>976195</v>
      </c>
      <c r="E22" s="10">
        <v>309369.08846227074</v>
      </c>
      <c r="F22" s="60">
        <f t="shared" si="3"/>
        <v>4225253.2446227074</v>
      </c>
      <c r="G22" s="10">
        <f>'Monthly Revenue Req. (EE&amp;C-2)'!AL96</f>
        <v>25544.993749999998</v>
      </c>
      <c r="H22" s="10">
        <f t="shared" si="0"/>
        <v>6163087.9695357298</v>
      </c>
      <c r="I22" s="60">
        <f t="shared" si="4"/>
        <v>121368626.57535726</v>
      </c>
      <c r="J22" s="10">
        <f t="shared" si="5"/>
        <v>1001739.99375</v>
      </c>
      <c r="K22" s="60">
        <f t="shared" si="6"/>
        <v>12904152.054208335</v>
      </c>
      <c r="L22" s="10">
        <f t="shared" si="7"/>
        <v>6163087.9695357298</v>
      </c>
      <c r="M22" s="10">
        <f t="shared" si="8"/>
        <v>1450854.9159933687</v>
      </c>
      <c r="N22" s="60">
        <f t="shared" si="9"/>
        <v>30379057.501392949</v>
      </c>
      <c r="O22" s="10">
        <f t="shared" si="10"/>
        <v>78085417.019755974</v>
      </c>
      <c r="P22" s="10">
        <f t="shared" si="11"/>
        <v>607599.93997048622</v>
      </c>
      <c r="Q22" s="10">
        <v>818669.97932366189</v>
      </c>
      <c r="R22" s="10">
        <f t="shared" si="12"/>
        <v>2428009.9130441481</v>
      </c>
    </row>
    <row r="23" spans="1:18" x14ac:dyDescent="0.35">
      <c r="A23" s="8">
        <v>45413</v>
      </c>
      <c r="B23" s="10">
        <v>5853718.8810734591</v>
      </c>
      <c r="C23" s="60">
        <f t="shared" si="1"/>
        <v>122997092.21180807</v>
      </c>
      <c r="D23" s="10">
        <f t="shared" si="2"/>
        <v>1024976</v>
      </c>
      <c r="E23" s="10">
        <v>309369.08846227074</v>
      </c>
      <c r="F23" s="60">
        <f t="shared" si="3"/>
        <v>4534622.3330849782</v>
      </c>
      <c r="G23" s="10">
        <f>'Monthly Revenue Req. (EE&amp;C-2)'!AL97</f>
        <v>12772.496874999999</v>
      </c>
      <c r="H23" s="10">
        <f t="shared" si="0"/>
        <v>6163087.9695357298</v>
      </c>
      <c r="I23" s="60">
        <f t="shared" si="4"/>
        <v>127531714.54489298</v>
      </c>
      <c r="J23" s="10">
        <f t="shared" si="5"/>
        <v>1037748.496875</v>
      </c>
      <c r="K23" s="60">
        <f t="shared" si="6"/>
        <v>13941900.551083334</v>
      </c>
      <c r="L23" s="10">
        <f t="shared" si="7"/>
        <v>6163087.9695357298</v>
      </c>
      <c r="M23" s="10">
        <f t="shared" si="8"/>
        <v>1440732.9257649311</v>
      </c>
      <c r="N23" s="60">
        <f t="shared" si="9"/>
        <v>31819790.427157879</v>
      </c>
      <c r="O23" s="10">
        <f t="shared" si="10"/>
        <v>81770023.566651762</v>
      </c>
      <c r="P23" s="10">
        <f t="shared" si="11"/>
        <v>636270.68032322475</v>
      </c>
      <c r="Q23" s="10">
        <v>818669.97932366189</v>
      </c>
      <c r="R23" s="10">
        <f t="shared" si="12"/>
        <v>2492689.1565218866</v>
      </c>
    </row>
    <row r="24" spans="1:18" ht="16" x14ac:dyDescent="0.5">
      <c r="A24" s="8">
        <v>45444</v>
      </c>
      <c r="B24" s="20">
        <v>5853718.8810734591</v>
      </c>
      <c r="C24" s="60">
        <f t="shared" si="1"/>
        <v>128850811.09288153</v>
      </c>
      <c r="D24" s="20">
        <f t="shared" si="2"/>
        <v>1073757</v>
      </c>
      <c r="E24" s="20">
        <v>309369.08846227074</v>
      </c>
      <c r="F24" s="60">
        <f t="shared" si="3"/>
        <v>4843991.421547249</v>
      </c>
      <c r="G24" s="10">
        <f>'Monthly Revenue Req. (EE&amp;C-2)'!AL98</f>
        <v>0</v>
      </c>
      <c r="H24" s="20">
        <f t="shared" si="0"/>
        <v>6163087.9695357298</v>
      </c>
      <c r="I24" s="60">
        <f t="shared" si="4"/>
        <v>133694802.5144287</v>
      </c>
      <c r="J24" s="20">
        <f t="shared" si="5"/>
        <v>1073757</v>
      </c>
      <c r="K24" s="60">
        <f>J24+K23</f>
        <v>15015657.551083334</v>
      </c>
      <c r="L24" s="20">
        <f t="shared" si="7"/>
        <v>6163087.9695357298</v>
      </c>
      <c r="M24" s="20">
        <f t="shared" si="8"/>
        <v>1430610.9355364938</v>
      </c>
      <c r="N24" s="60">
        <f t="shared" si="9"/>
        <v>33250401.362694371</v>
      </c>
      <c r="O24" s="10">
        <f t="shared" si="10"/>
        <v>85428743.600651011</v>
      </c>
      <c r="P24" s="20">
        <f t="shared" si="11"/>
        <v>664739.9919805387</v>
      </c>
      <c r="Q24" s="20">
        <v>818669.97932366189</v>
      </c>
      <c r="R24" s="20">
        <f t="shared" si="12"/>
        <v>2557166.9713042006</v>
      </c>
    </row>
    <row r="25" spans="1:18" x14ac:dyDescent="0.35">
      <c r="A25" s="9" t="s">
        <v>18</v>
      </c>
      <c r="B25" s="11">
        <f>SUM(B13:B24)</f>
        <v>70244626.572881505</v>
      </c>
      <c r="D25" s="12">
        <f>SUM(D13:D24)</f>
        <v>9665538</v>
      </c>
      <c r="E25" s="12">
        <f>SUM(E13:E24)</f>
        <v>3712429.0615472491</v>
      </c>
      <c r="G25" s="60">
        <f>SUM(G13:G24)</f>
        <v>623619.80229166662</v>
      </c>
      <c r="H25" s="60">
        <f>SUM(H13:H24)</f>
        <v>73957055.634428754</v>
      </c>
      <c r="J25" s="60">
        <f>SUM(J13:J24)</f>
        <v>10289157.802291667</v>
      </c>
      <c r="L25" s="60">
        <f>SUM(L13:L24)</f>
        <v>73957055.634428754</v>
      </c>
      <c r="M25" s="10">
        <f t="shared" si="8"/>
        <v>17897046.080613736</v>
      </c>
      <c r="P25" s="60">
        <f>SUM(P13:P24)</f>
        <v>6051871.8735314691</v>
      </c>
      <c r="Q25" s="60">
        <f>SUM(Q13:Q24)</f>
        <v>9824039.7518839426</v>
      </c>
      <c r="R25" s="60">
        <f>SUM(R13:R24)</f>
        <v>26165069.427707076</v>
      </c>
    </row>
    <row r="27" spans="1:18" x14ac:dyDescent="0.35">
      <c r="H27" s="60"/>
    </row>
    <row r="28" spans="1:18" x14ac:dyDescent="0.35">
      <c r="D28" s="65"/>
    </row>
  </sheetData>
  <mergeCells count="2">
    <mergeCell ref="B6:J6"/>
    <mergeCell ref="L6:N6"/>
  </mergeCells>
  <pageMargins left="0.7" right="0.7" top="0.75" bottom="0.75" header="0.3" footer="0.3"/>
  <pageSetup scale="54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31FE67-6822-43C4-84C8-4D4D4239D76B}">
  <sheetPr>
    <tabColor rgb="FFFFFF00"/>
  </sheetPr>
  <dimension ref="A1:E22"/>
  <sheetViews>
    <sheetView zoomScaleNormal="100" workbookViewId="0">
      <selection activeCell="G29" sqref="G29"/>
    </sheetView>
  </sheetViews>
  <sheetFormatPr defaultRowHeight="14.5" x14ac:dyDescent="0.35"/>
  <cols>
    <col min="1" max="1" width="8.81640625" customWidth="1"/>
    <col min="2" max="2" width="51.81640625" bestFit="1" customWidth="1"/>
    <col min="3" max="3" width="17.54296875" customWidth="1"/>
    <col min="5" max="5" width="14.453125" bestFit="1" customWidth="1"/>
  </cols>
  <sheetData>
    <row r="1" spans="1:3" ht="15.5" x14ac:dyDescent="0.35">
      <c r="A1" s="6" t="s">
        <v>0</v>
      </c>
      <c r="C1" s="92" t="s">
        <v>163</v>
      </c>
    </row>
    <row r="2" spans="1:3" ht="15.5" x14ac:dyDescent="0.35">
      <c r="A2" s="7" t="s">
        <v>1</v>
      </c>
      <c r="C2" s="92" t="s">
        <v>228</v>
      </c>
    </row>
    <row r="3" spans="1:3" ht="15.5" x14ac:dyDescent="0.35">
      <c r="A3" s="7" t="s">
        <v>82</v>
      </c>
    </row>
    <row r="4" spans="1:3" ht="15.5" x14ac:dyDescent="0.35">
      <c r="A4" s="7" t="s">
        <v>176</v>
      </c>
    </row>
    <row r="5" spans="1:3" x14ac:dyDescent="0.35">
      <c r="C5" s="2"/>
    </row>
    <row r="8" spans="1:3" x14ac:dyDescent="0.35">
      <c r="C8" s="25">
        <v>45108</v>
      </c>
    </row>
    <row r="9" spans="1:3" x14ac:dyDescent="0.35">
      <c r="C9" s="2" t="s">
        <v>83</v>
      </c>
    </row>
    <row r="10" spans="1:3" x14ac:dyDescent="0.35">
      <c r="A10" s="95" t="s">
        <v>84</v>
      </c>
      <c r="C10" s="94">
        <v>45473</v>
      </c>
    </row>
    <row r="11" spans="1:3" x14ac:dyDescent="0.35">
      <c r="A11" s="1">
        <v>1</v>
      </c>
      <c r="B11" t="s">
        <v>85</v>
      </c>
      <c r="C11" s="11">
        <f>'Projected Rev. Req (EE&amp;C-4)'!J25</f>
        <v>10289157.802291667</v>
      </c>
    </row>
    <row r="12" spans="1:3" x14ac:dyDescent="0.35">
      <c r="A12" s="1">
        <f>A11+1</f>
        <v>2</v>
      </c>
      <c r="B12" t="s">
        <v>86</v>
      </c>
      <c r="C12" s="10">
        <f>'Projected Rev. Req (EE&amp;C-4)'!P25</f>
        <v>6051871.8735314691</v>
      </c>
    </row>
    <row r="13" spans="1:3" ht="16" x14ac:dyDescent="0.5">
      <c r="A13" s="1">
        <f t="shared" ref="A13:A14" si="0">A12+1</f>
        <v>3</v>
      </c>
      <c r="B13" t="s">
        <v>87</v>
      </c>
      <c r="C13" s="20">
        <f>'Projected Rev. Req (EE&amp;C-4)'!Q25</f>
        <v>9824039.7518839426</v>
      </c>
    </row>
    <row r="14" spans="1:3" x14ac:dyDescent="0.35">
      <c r="A14" s="1">
        <f t="shared" si="0"/>
        <v>4</v>
      </c>
      <c r="B14" t="s">
        <v>222</v>
      </c>
      <c r="C14" s="11">
        <f>SUM(C11:C13)</f>
        <v>26165069.42770708</v>
      </c>
    </row>
    <row r="16" spans="1:3" ht="30.5" x14ac:dyDescent="0.5">
      <c r="A16" s="1">
        <f>A14+1</f>
        <v>5</v>
      </c>
      <c r="B16" s="4" t="s">
        <v>177</v>
      </c>
      <c r="C16" s="22">
        <f>-'Reconciliation (EE&amp;C-3)'!M39</f>
        <v>-4638886.3244025037</v>
      </c>
    </row>
    <row r="17" spans="1:5" x14ac:dyDescent="0.35">
      <c r="A17" s="1">
        <f>A16+1</f>
        <v>6</v>
      </c>
      <c r="B17" t="s">
        <v>178</v>
      </c>
      <c r="C17" s="12">
        <f>SUM(C14:C16)</f>
        <v>21526183.103304576</v>
      </c>
    </row>
    <row r="18" spans="1:5" x14ac:dyDescent="0.35">
      <c r="A18" s="1">
        <f>A17+1</f>
        <v>7</v>
      </c>
      <c r="B18" t="s">
        <v>88</v>
      </c>
      <c r="C18" s="10">
        <f>SUM('kwh forecast'!AH14:AH25)/1000</f>
        <v>19880754.244455382</v>
      </c>
    </row>
    <row r="19" spans="1:5" ht="15" thickBot="1" x14ac:dyDescent="0.4">
      <c r="A19" s="1">
        <f t="shared" ref="A19:A21" si="1">A18+1</f>
        <v>8</v>
      </c>
      <c r="B19" t="s">
        <v>89</v>
      </c>
      <c r="C19" s="24">
        <f>ROUND(C17/C18/1000,6)</f>
        <v>1.083E-3</v>
      </c>
      <c r="E19" s="66"/>
    </row>
    <row r="20" spans="1:5" ht="15" thickBot="1" x14ac:dyDescent="0.4">
      <c r="A20" s="1">
        <f t="shared" si="1"/>
        <v>9</v>
      </c>
      <c r="B20" t="s">
        <v>90</v>
      </c>
      <c r="C20" s="23">
        <f>ROUND(C19*(1+0.06625),6)</f>
        <v>1.155E-3</v>
      </c>
      <c r="E20" s="66"/>
    </row>
    <row r="21" spans="1:5" x14ac:dyDescent="0.35">
      <c r="A21" s="1">
        <f t="shared" si="1"/>
        <v>10</v>
      </c>
      <c r="B21" t="s">
        <v>91</v>
      </c>
      <c r="C21" s="11">
        <f>+C19*C18*1000</f>
        <v>21530856.846745178</v>
      </c>
      <c r="E21" s="65"/>
    </row>
    <row r="22" spans="1:5" x14ac:dyDescent="0.35">
      <c r="E22" s="65"/>
    </row>
  </sheetData>
  <pageMargins left="0.7" right="0.7" top="0.75" bottom="0.75" header="0.3" footer="0.3"/>
  <pageSetup orientation="portrait" horizontalDpi="4294967293" vertic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056F81-B83A-4428-93E2-C630AF121C79}">
  <sheetPr>
    <pageSetUpPr fitToPage="1"/>
  </sheetPr>
  <dimension ref="A1:U32"/>
  <sheetViews>
    <sheetView workbookViewId="0">
      <selection activeCell="G29" sqref="G29"/>
    </sheetView>
  </sheetViews>
  <sheetFormatPr defaultRowHeight="14.5" x14ac:dyDescent="0.35"/>
  <cols>
    <col min="1" max="1" width="61.81640625" customWidth="1"/>
    <col min="2" max="6" width="9" hidden="1" customWidth="1"/>
    <col min="7" max="7" width="1.453125" hidden="1" customWidth="1"/>
    <col min="8" max="12" width="11.54296875" bestFit="1" customWidth="1"/>
    <col min="13" max="13" width="11.1796875" bestFit="1" customWidth="1"/>
    <col min="14" max="14" width="13.453125" bestFit="1" customWidth="1"/>
    <col min="15" max="17" width="11.1796875" bestFit="1" customWidth="1"/>
    <col min="18" max="19" width="11" bestFit="1" customWidth="1"/>
    <col min="20" max="20" width="11.1796875" bestFit="1" customWidth="1"/>
    <col min="21" max="21" width="12.1796875" bestFit="1" customWidth="1"/>
  </cols>
  <sheetData>
    <row r="1" spans="1:21" ht="15.5" x14ac:dyDescent="0.35">
      <c r="A1" s="6" t="s">
        <v>0</v>
      </c>
      <c r="U1" s="92" t="s">
        <v>163</v>
      </c>
    </row>
    <row r="2" spans="1:21" ht="15.5" x14ac:dyDescent="0.35">
      <c r="A2" s="7" t="s">
        <v>1</v>
      </c>
      <c r="U2" s="92" t="s">
        <v>229</v>
      </c>
    </row>
    <row r="3" spans="1:21" ht="15.5" x14ac:dyDescent="0.35">
      <c r="A3" s="7" t="s">
        <v>92</v>
      </c>
    </row>
    <row r="6" spans="1:21" ht="15" thickBot="1" x14ac:dyDescent="0.4">
      <c r="B6" s="106">
        <v>2022</v>
      </c>
      <c r="C6" s="107"/>
      <c r="D6" s="107"/>
      <c r="E6" s="107"/>
      <c r="F6" s="107"/>
      <c r="G6" s="107"/>
      <c r="H6" s="107"/>
      <c r="I6" s="107"/>
      <c r="J6" s="107"/>
      <c r="K6" s="107"/>
      <c r="L6" s="107"/>
      <c r="M6" s="107"/>
      <c r="N6" s="107"/>
      <c r="O6" s="108">
        <v>2023</v>
      </c>
      <c r="P6" s="108"/>
      <c r="Q6" s="108"/>
      <c r="R6" s="108"/>
      <c r="S6" s="108"/>
      <c r="T6" s="108"/>
    </row>
    <row r="7" spans="1:21" ht="15" thickBot="1" x14ac:dyDescent="0.4">
      <c r="B7" s="47" t="s">
        <v>93</v>
      </c>
      <c r="C7" s="48" t="s">
        <v>94</v>
      </c>
      <c r="D7" s="48" t="s">
        <v>95</v>
      </c>
      <c r="E7" s="48" t="s">
        <v>96</v>
      </c>
      <c r="F7" s="48" t="s">
        <v>97</v>
      </c>
      <c r="G7" s="48" t="s">
        <v>98</v>
      </c>
      <c r="H7" s="48" t="s">
        <v>99</v>
      </c>
      <c r="I7" s="48" t="s">
        <v>100</v>
      </c>
      <c r="J7" s="48" t="s">
        <v>101</v>
      </c>
      <c r="K7" s="48" t="s">
        <v>102</v>
      </c>
      <c r="L7" s="48" t="s">
        <v>103</v>
      </c>
      <c r="M7" s="49" t="s">
        <v>104</v>
      </c>
      <c r="N7" s="50" t="s">
        <v>105</v>
      </c>
      <c r="O7" s="70" t="s">
        <v>93</v>
      </c>
      <c r="P7" s="70" t="s">
        <v>94</v>
      </c>
      <c r="Q7" s="69" t="s">
        <v>106</v>
      </c>
      <c r="R7" s="70" t="s">
        <v>107</v>
      </c>
      <c r="S7" s="69" t="s">
        <v>97</v>
      </c>
      <c r="T7" s="70" t="s">
        <v>108</v>
      </c>
      <c r="U7" s="50" t="s">
        <v>105</v>
      </c>
    </row>
    <row r="8" spans="1:21" ht="15" thickBot="1" x14ac:dyDescent="0.4">
      <c r="A8" s="34" t="s">
        <v>109</v>
      </c>
    </row>
    <row r="9" spans="1:21" x14ac:dyDescent="0.35">
      <c r="A9" s="28" t="s">
        <v>110</v>
      </c>
      <c r="B9" s="45">
        <v>0</v>
      </c>
      <c r="C9" s="35">
        <v>0</v>
      </c>
      <c r="D9" s="35">
        <v>0</v>
      </c>
      <c r="E9" s="35">
        <v>0</v>
      </c>
      <c r="F9" s="35">
        <v>0</v>
      </c>
      <c r="G9" s="45">
        <v>0</v>
      </c>
      <c r="H9" s="35">
        <f>-'Reconciliation (EE&amp;C-3)'!E9</f>
        <v>-394130.58335940656</v>
      </c>
      <c r="I9" s="35">
        <f>-'Reconciliation (EE&amp;C-3)'!E10</f>
        <v>-779598.81230015331</v>
      </c>
      <c r="J9" s="35">
        <f>-'Reconciliation (EE&amp;C-3)'!E11</f>
        <v>-676392.74891609768</v>
      </c>
      <c r="K9" s="35">
        <f>-'Reconciliation (EE&amp;C-3)'!E12</f>
        <v>-89140.376431434532</v>
      </c>
      <c r="L9" s="35">
        <f>-'Reconciliation (EE&amp;C-3)'!E13</f>
        <v>21876.647046509199</v>
      </c>
      <c r="M9" s="54">
        <f>-'Reconciliation (EE&amp;C-3)'!E14</f>
        <v>-71015.924323456944</v>
      </c>
      <c r="N9" s="35">
        <f>SUM(B9:M9)</f>
        <v>-1988401.7982840398</v>
      </c>
      <c r="O9" s="71">
        <f>-'Reconciliation (EE&amp;C-3)'!E34</f>
        <v>419562.38765495783</v>
      </c>
      <c r="P9" s="35">
        <f>-'Reconciliation (EE&amp;C-3)'!E35</f>
        <v>521433.68240084429</v>
      </c>
      <c r="Q9" s="35">
        <f>-'Reconciliation (EE&amp;C-3)'!E36</f>
        <v>630087.07403107162</v>
      </c>
      <c r="R9" s="35">
        <f>-'Reconciliation (EE&amp;C-3)'!E37</f>
        <v>779268.95974480035</v>
      </c>
      <c r="S9" s="35">
        <f>-'Reconciliation (EE&amp;C-3)'!E38</f>
        <v>897688.6298384557</v>
      </c>
      <c r="T9" s="35">
        <f>-'Reconciliation (EE&amp;C-3)'!E39</f>
        <v>866574.38021140394</v>
      </c>
      <c r="U9" s="36">
        <f>SUM(O9:T9)</f>
        <v>4114615.1138815335</v>
      </c>
    </row>
    <row r="10" spans="1:21" ht="15" thickBot="1" x14ac:dyDescent="0.4">
      <c r="A10" s="37" t="s">
        <v>111</v>
      </c>
      <c r="B10" s="46">
        <v>0</v>
      </c>
      <c r="C10" s="38">
        <v>0</v>
      </c>
      <c r="D10" s="38">
        <v>0</v>
      </c>
      <c r="E10" s="38">
        <v>0</v>
      </c>
      <c r="F10" s="38">
        <v>0</v>
      </c>
      <c r="G10" s="46">
        <v>0</v>
      </c>
      <c r="H10" s="38">
        <f>-H9</f>
        <v>394130.58335940656</v>
      </c>
      <c r="I10" s="38">
        <f t="shared" ref="I10:M10" si="0">-I9</f>
        <v>779598.81230015331</v>
      </c>
      <c r="J10" s="38">
        <f t="shared" si="0"/>
        <v>676392.74891609768</v>
      </c>
      <c r="K10" s="38">
        <f t="shared" si="0"/>
        <v>89140.376431434532</v>
      </c>
      <c r="L10" s="38">
        <f t="shared" si="0"/>
        <v>-21876.647046509199</v>
      </c>
      <c r="M10" s="38">
        <f t="shared" si="0"/>
        <v>71015.924323456944</v>
      </c>
      <c r="N10" s="38">
        <f>SUM(B10:M10)</f>
        <v>1988401.7982840398</v>
      </c>
      <c r="O10" s="72">
        <f>-O9</f>
        <v>-419562.38765495783</v>
      </c>
      <c r="P10" s="73">
        <f>-P9</f>
        <v>-521433.68240084429</v>
      </c>
      <c r="Q10" s="73">
        <f>-Q9</f>
        <v>-630087.07403107162</v>
      </c>
      <c r="R10" s="73">
        <f t="shared" ref="R10:T10" si="1">-R9</f>
        <v>-779268.95974480035</v>
      </c>
      <c r="S10" s="73">
        <f t="shared" si="1"/>
        <v>-897688.6298384557</v>
      </c>
      <c r="T10" s="73">
        <f t="shared" si="1"/>
        <v>-866574.38021140394</v>
      </c>
      <c r="U10" s="39">
        <f>SUM(O10:T10)</f>
        <v>-4114615.1138815335</v>
      </c>
    </row>
    <row r="11" spans="1:21" ht="15" thickBot="1" x14ac:dyDescent="0.4">
      <c r="A11" s="27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51"/>
      <c r="N11" s="10"/>
      <c r="U11" s="10"/>
    </row>
    <row r="12" spans="1:21" ht="15" thickBot="1" x14ac:dyDescent="0.4">
      <c r="A12" s="26" t="s">
        <v>112</v>
      </c>
      <c r="B12" s="40"/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56"/>
      <c r="N12" s="40"/>
      <c r="O12" s="89"/>
      <c r="P12" s="89"/>
      <c r="Q12" s="89"/>
      <c r="R12" s="89"/>
      <c r="S12" s="89"/>
      <c r="T12" s="89"/>
      <c r="U12" s="36"/>
    </row>
    <row r="13" spans="1:21" x14ac:dyDescent="0.35">
      <c r="A13" s="43" t="s">
        <v>113</v>
      </c>
      <c r="B13" s="21">
        <v>0</v>
      </c>
      <c r="C13" s="21">
        <v>0</v>
      </c>
      <c r="D13" s="21">
        <v>0</v>
      </c>
      <c r="E13" s="21">
        <v>0</v>
      </c>
      <c r="F13" s="21">
        <v>0</v>
      </c>
      <c r="G13" s="21">
        <v>0</v>
      </c>
      <c r="H13" s="21">
        <f>-'Reconciliation (EE&amp;C-3)'!L9</f>
        <v>-13851.16</v>
      </c>
      <c r="I13" s="21">
        <f>-'Reconciliation (EE&amp;C-3)'!L10</f>
        <v>-15323.29</v>
      </c>
      <c r="J13" s="21">
        <f>-'Reconciliation (EE&amp;C-3)'!L11</f>
        <v>-19786.41</v>
      </c>
      <c r="K13" s="21">
        <f>-'Reconciliation (EE&amp;C-3)'!L12</f>
        <v>-23805.42</v>
      </c>
      <c r="L13" s="21">
        <f>-'Reconciliation (EE&amp;C-3)'!L13</f>
        <v>-26027.26</v>
      </c>
      <c r="M13" s="55">
        <f>-'Reconciliation (EE&amp;C-3)'!L14</f>
        <v>-24630.18</v>
      </c>
      <c r="N13" s="21">
        <f>SUM(B13:M13)</f>
        <v>-123423.72</v>
      </c>
      <c r="O13" s="71">
        <f>-'Reconciliation (EE&amp;C-3)'!L34</f>
        <v>-24123.82</v>
      </c>
      <c r="P13" s="35">
        <f>-'Reconciliation (EE&amp;C-3)'!L35</f>
        <v>-22756.77</v>
      </c>
      <c r="Q13" s="35">
        <f>-'Reconciliation (EE&amp;C-3)'!L36</f>
        <v>-21083.86</v>
      </c>
      <c r="R13" s="35">
        <f>-'Reconciliation (EE&amp;C-3)'!L37</f>
        <v>-19036.38</v>
      </c>
      <c r="S13" s="35">
        <f>-'Reconciliation (EE&amp;C-3)'!L38</f>
        <v>-16600.14</v>
      </c>
      <c r="T13" s="35">
        <f>-'Reconciliation (EE&amp;C-3)'!L39</f>
        <v>-14037.06</v>
      </c>
      <c r="U13" s="30">
        <f>SUM(O13:T13)</f>
        <v>-117638.03</v>
      </c>
    </row>
    <row r="14" spans="1:21" x14ac:dyDescent="0.35">
      <c r="A14" s="44" t="s">
        <v>114</v>
      </c>
      <c r="B14" s="21">
        <v>0</v>
      </c>
      <c r="C14" s="21">
        <v>0</v>
      </c>
      <c r="D14" s="21">
        <v>0</v>
      </c>
      <c r="E14" s="21">
        <v>0</v>
      </c>
      <c r="F14" s="21">
        <v>0</v>
      </c>
      <c r="G14" s="21">
        <v>0</v>
      </c>
      <c r="H14" s="21">
        <v>0</v>
      </c>
      <c r="I14" s="21">
        <v>0</v>
      </c>
      <c r="J14" s="21">
        <v>0</v>
      </c>
      <c r="K14" s="21">
        <v>0</v>
      </c>
      <c r="L14" s="21">
        <v>0</v>
      </c>
      <c r="M14" s="55">
        <v>0</v>
      </c>
      <c r="N14" s="21"/>
      <c r="O14" s="74"/>
      <c r="P14" s="42"/>
      <c r="Q14" s="42"/>
      <c r="R14" s="42"/>
      <c r="S14" s="42"/>
      <c r="T14" s="42"/>
      <c r="U14" s="31"/>
    </row>
    <row r="15" spans="1:21" ht="15" thickBot="1" x14ac:dyDescent="0.4">
      <c r="A15" s="37" t="s">
        <v>115</v>
      </c>
      <c r="B15" s="32">
        <v>0</v>
      </c>
      <c r="C15" s="32">
        <v>0</v>
      </c>
      <c r="D15" s="32">
        <v>0</v>
      </c>
      <c r="E15" s="32">
        <v>0</v>
      </c>
      <c r="F15" s="32">
        <v>0</v>
      </c>
      <c r="G15" s="32">
        <v>0</v>
      </c>
      <c r="H15" s="32">
        <f>-H13</f>
        <v>13851.16</v>
      </c>
      <c r="I15" s="32">
        <f t="shared" ref="I15:M15" si="2">-I13</f>
        <v>15323.29</v>
      </c>
      <c r="J15" s="32">
        <f t="shared" si="2"/>
        <v>19786.41</v>
      </c>
      <c r="K15" s="32">
        <f t="shared" si="2"/>
        <v>23805.42</v>
      </c>
      <c r="L15" s="32">
        <f t="shared" si="2"/>
        <v>26027.26</v>
      </c>
      <c r="M15" s="32">
        <f t="shared" si="2"/>
        <v>24630.18</v>
      </c>
      <c r="N15" s="32">
        <f>SUM(B15:M15)</f>
        <v>123423.72</v>
      </c>
      <c r="O15" s="75">
        <f>-O13</f>
        <v>24123.82</v>
      </c>
      <c r="P15" s="38">
        <f>-P13</f>
        <v>22756.77</v>
      </c>
      <c r="Q15" s="38">
        <f>-Q13</f>
        <v>21083.86</v>
      </c>
      <c r="R15" s="38">
        <f t="shared" ref="R15:T15" si="3">-R13</f>
        <v>19036.38</v>
      </c>
      <c r="S15" s="38">
        <f t="shared" si="3"/>
        <v>16600.14</v>
      </c>
      <c r="T15" s="38">
        <f t="shared" si="3"/>
        <v>14037.06</v>
      </c>
      <c r="U15" s="33">
        <f>SUM(O15:T15)</f>
        <v>117638.03</v>
      </c>
    </row>
    <row r="16" spans="1:21" ht="15" thickBot="1" x14ac:dyDescent="0.4">
      <c r="A16" s="27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51"/>
      <c r="N16" s="10"/>
      <c r="U16" s="10"/>
    </row>
    <row r="17" spans="1:21" ht="15" thickBot="1" x14ac:dyDescent="0.4">
      <c r="A17" s="26" t="s">
        <v>116</v>
      </c>
      <c r="B17" s="40"/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56"/>
      <c r="N17" s="40"/>
      <c r="O17" s="87"/>
      <c r="P17" s="87"/>
      <c r="Q17" s="87"/>
      <c r="R17" s="87"/>
      <c r="S17" s="87"/>
      <c r="T17" s="87"/>
      <c r="U17" s="41"/>
    </row>
    <row r="18" spans="1:21" x14ac:dyDescent="0.35">
      <c r="A18" s="44" t="s">
        <v>117</v>
      </c>
      <c r="B18" s="88">
        <v>0</v>
      </c>
      <c r="C18" s="42">
        <v>0</v>
      </c>
      <c r="D18" s="42">
        <v>0</v>
      </c>
      <c r="E18" s="42">
        <v>0</v>
      </c>
      <c r="F18" s="42">
        <v>0</v>
      </c>
      <c r="G18" s="88">
        <v>0</v>
      </c>
      <c r="H18" s="42">
        <f>'Monthly Revenue Req. (EE&amp;C-2)'!B14</f>
        <v>2111151.3899999997</v>
      </c>
      <c r="I18" s="42">
        <f>'Monthly Revenue Req. (EE&amp;C-2)'!B15</f>
        <v>3329194.84</v>
      </c>
      <c r="J18" s="42">
        <f>'Monthly Revenue Req. (EE&amp;C-2)'!B16</f>
        <v>2800440.23</v>
      </c>
      <c r="K18" s="42">
        <f>'Monthly Revenue Req. (EE&amp;C-2)'!B17</f>
        <v>3329560.03</v>
      </c>
      <c r="L18" s="42">
        <f>'Monthly Revenue Req. (EE&amp;C-2)'!B18</f>
        <v>3473351.1599999992</v>
      </c>
      <c r="M18" s="57">
        <f>'Monthly Revenue Req. (EE&amp;C-2)'!B19</f>
        <v>3958975.0799999991</v>
      </c>
      <c r="N18" s="42">
        <f>SUM(B18:M18)</f>
        <v>19002672.729999997</v>
      </c>
      <c r="O18" s="71">
        <f>'Monthly Revenue Req. (EE&amp;C-2)'!B30</f>
        <v>4512993.083333333</v>
      </c>
      <c r="P18" s="35">
        <f>'Monthly Revenue Req. (EE&amp;C-2)'!B31</f>
        <v>4512993.083333333</v>
      </c>
      <c r="Q18" s="35">
        <f>'Monthly Revenue Req. (EE&amp;C-2)'!B32</f>
        <v>4512993.083333333</v>
      </c>
      <c r="R18" s="35">
        <f>'Monthly Revenue Req. (EE&amp;C-2)'!B33</f>
        <v>4512993.083333333</v>
      </c>
      <c r="S18" s="35">
        <f>'Monthly Revenue Req. (EE&amp;C-2)'!B34</f>
        <v>4512993.083333333</v>
      </c>
      <c r="T18" s="35">
        <f>'Monthly Revenue Req. (EE&amp;C-2)'!B35</f>
        <v>4512993.083333333</v>
      </c>
      <c r="U18" s="36">
        <f>SUM(O18:T18)</f>
        <v>27077958.499999996</v>
      </c>
    </row>
    <row r="19" spans="1:21" ht="15" thickBot="1" x14ac:dyDescent="0.4">
      <c r="A19" s="37" t="s">
        <v>118</v>
      </c>
      <c r="B19" s="46">
        <v>0</v>
      </c>
      <c r="C19" s="38">
        <v>0</v>
      </c>
      <c r="D19" s="38">
        <v>0</v>
      </c>
      <c r="E19" s="38">
        <v>0</v>
      </c>
      <c r="F19" s="38">
        <v>0</v>
      </c>
      <c r="G19" s="46">
        <v>0</v>
      </c>
      <c r="H19" s="38">
        <f>-H18</f>
        <v>-2111151.3899999997</v>
      </c>
      <c r="I19" s="38">
        <f t="shared" ref="I19:M19" si="4">-I18</f>
        <v>-3329194.84</v>
      </c>
      <c r="J19" s="38">
        <f t="shared" si="4"/>
        <v>-2800440.23</v>
      </c>
      <c r="K19" s="38">
        <f t="shared" si="4"/>
        <v>-3329560.03</v>
      </c>
      <c r="L19" s="38">
        <f t="shared" si="4"/>
        <v>-3473351.1599999992</v>
      </c>
      <c r="M19" s="38">
        <f t="shared" si="4"/>
        <v>-3958975.0799999991</v>
      </c>
      <c r="N19" s="38">
        <f>SUM(B19:M19)</f>
        <v>-19002672.729999997</v>
      </c>
      <c r="O19" s="75">
        <f>-O18</f>
        <v>-4512993.083333333</v>
      </c>
      <c r="P19" s="38">
        <f>-P18</f>
        <v>-4512993.083333333</v>
      </c>
      <c r="Q19" s="38">
        <f>-Q18</f>
        <v>-4512993.083333333</v>
      </c>
      <c r="R19" s="38">
        <f t="shared" ref="R19:T19" si="5">-R18</f>
        <v>-4512993.083333333</v>
      </c>
      <c r="S19" s="38">
        <f t="shared" si="5"/>
        <v>-4512993.083333333</v>
      </c>
      <c r="T19" s="38">
        <f t="shared" si="5"/>
        <v>-4512993.083333333</v>
      </c>
      <c r="U19" s="39">
        <f>SUM(O19:T19)</f>
        <v>-27077958.499999996</v>
      </c>
    </row>
    <row r="20" spans="1:21" ht="15" thickBot="1" x14ac:dyDescent="0.4">
      <c r="A20" s="27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51"/>
      <c r="N20" s="10"/>
      <c r="U20" s="10"/>
    </row>
    <row r="21" spans="1:21" ht="15" thickBot="1" x14ac:dyDescent="0.4">
      <c r="A21" s="26" t="s">
        <v>119</v>
      </c>
      <c r="B21" s="40"/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56"/>
      <c r="N21" s="40"/>
      <c r="O21" s="87"/>
      <c r="P21" s="87"/>
      <c r="Q21" s="87"/>
      <c r="R21" s="87"/>
      <c r="S21" s="87"/>
      <c r="T21" s="87"/>
      <c r="U21" s="41"/>
    </row>
    <row r="22" spans="1:21" x14ac:dyDescent="0.35">
      <c r="A22" s="44" t="s">
        <v>117</v>
      </c>
      <c r="B22" s="88">
        <v>0</v>
      </c>
      <c r="C22" s="42">
        <v>0</v>
      </c>
      <c r="D22" s="42">
        <v>0</v>
      </c>
      <c r="E22" s="42">
        <v>0</v>
      </c>
      <c r="F22" s="42">
        <v>0</v>
      </c>
      <c r="G22" s="88">
        <v>0</v>
      </c>
      <c r="H22" s="42">
        <f>'Monthly Revenue Req. (EE&amp;C-2)'!E14</f>
        <v>-44456.76</v>
      </c>
      <c r="I22" s="42">
        <f>'Monthly Revenue Req. (EE&amp;C-2)'!E15</f>
        <v>-101099.04</v>
      </c>
      <c r="J22" s="42">
        <f>'Monthly Revenue Req. (EE&amp;C-2)'!E16</f>
        <v>-74985.33</v>
      </c>
      <c r="K22" s="42">
        <f>'Monthly Revenue Req. (EE&amp;C-2)'!E17</f>
        <v>182292.83</v>
      </c>
      <c r="L22" s="42">
        <f>'Monthly Revenue Req. (EE&amp;C-2)'!E18</f>
        <v>-81946.25</v>
      </c>
      <c r="M22" s="57">
        <f>'Monthly Revenue Req. (EE&amp;C-2)'!E19</f>
        <v>-60270.85</v>
      </c>
      <c r="N22" s="42">
        <f>SUM(B22:M22)</f>
        <v>-180465.40000000002</v>
      </c>
      <c r="O22" s="71">
        <f>'Monthly Revenue Req. (EE&amp;C-2)'!E30</f>
        <v>153270</v>
      </c>
      <c r="P22" s="35">
        <f>'Monthly Revenue Req. (EE&amp;C-2)'!E31</f>
        <v>153270</v>
      </c>
      <c r="Q22" s="35">
        <f>'Monthly Revenue Req. (EE&amp;C-2)'!E32</f>
        <v>153270</v>
      </c>
      <c r="R22" s="35">
        <f>'Monthly Revenue Req. (EE&amp;C-2)'!E33</f>
        <v>153270</v>
      </c>
      <c r="S22" s="35">
        <f>'Monthly Revenue Req. (EE&amp;C-2)'!E34</f>
        <v>153270</v>
      </c>
      <c r="T22" s="35">
        <f>'Monthly Revenue Req. (EE&amp;C-2)'!E35</f>
        <v>153270</v>
      </c>
      <c r="U22" s="36">
        <f>SUM(O22:T22)</f>
        <v>919620</v>
      </c>
    </row>
    <row r="23" spans="1:21" ht="15" thickBot="1" x14ac:dyDescent="0.4">
      <c r="A23" s="37" t="s">
        <v>118</v>
      </c>
      <c r="B23" s="46">
        <v>0</v>
      </c>
      <c r="C23" s="38">
        <v>0</v>
      </c>
      <c r="D23" s="38">
        <v>0</v>
      </c>
      <c r="E23" s="38">
        <v>0</v>
      </c>
      <c r="F23" s="38">
        <v>0</v>
      </c>
      <c r="G23" s="46">
        <v>0</v>
      </c>
      <c r="H23" s="38">
        <f>-H22</f>
        <v>44456.76</v>
      </c>
      <c r="I23" s="38">
        <f t="shared" ref="I23:M23" si="6">-I22</f>
        <v>101099.04</v>
      </c>
      <c r="J23" s="38">
        <f t="shared" si="6"/>
        <v>74985.33</v>
      </c>
      <c r="K23" s="38">
        <f t="shared" si="6"/>
        <v>-182292.83</v>
      </c>
      <c r="L23" s="38">
        <f t="shared" si="6"/>
        <v>81946.25</v>
      </c>
      <c r="M23" s="38">
        <f t="shared" si="6"/>
        <v>60270.85</v>
      </c>
      <c r="N23" s="38">
        <f>SUM(B23:M23)</f>
        <v>180465.40000000002</v>
      </c>
      <c r="O23" s="72">
        <f>-O22</f>
        <v>-153270</v>
      </c>
      <c r="P23" s="73">
        <f>-P22</f>
        <v>-153270</v>
      </c>
      <c r="Q23" s="73">
        <f>-Q22</f>
        <v>-153270</v>
      </c>
      <c r="R23" s="73">
        <f t="shared" ref="R23:T23" si="7">-R22</f>
        <v>-153270</v>
      </c>
      <c r="S23" s="73">
        <f t="shared" si="7"/>
        <v>-153270</v>
      </c>
      <c r="T23" s="73">
        <f t="shared" si="7"/>
        <v>-153270</v>
      </c>
      <c r="U23" s="39">
        <f>SUM(O23:T23)</f>
        <v>-919620</v>
      </c>
    </row>
    <row r="24" spans="1:21" ht="15" thickBot="1" x14ac:dyDescent="0.4">
      <c r="A24" s="29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51"/>
      <c r="N24" s="10"/>
      <c r="U24" s="10"/>
    </row>
    <row r="25" spans="1:21" ht="15" thickBot="1" x14ac:dyDescent="0.4">
      <c r="A25" s="26" t="s">
        <v>120</v>
      </c>
      <c r="B25" s="40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56"/>
      <c r="N25" s="40"/>
      <c r="O25" s="89"/>
      <c r="P25" s="89"/>
      <c r="Q25" s="89"/>
      <c r="R25" s="89"/>
      <c r="S25" s="89"/>
      <c r="T25" s="89"/>
      <c r="U25" s="36"/>
    </row>
    <row r="26" spans="1:21" x14ac:dyDescent="0.35">
      <c r="A26" s="43" t="s">
        <v>121</v>
      </c>
      <c r="B26" s="88">
        <v>0</v>
      </c>
      <c r="C26" s="42">
        <v>0</v>
      </c>
      <c r="D26" s="42">
        <v>0</v>
      </c>
      <c r="E26" s="42">
        <v>0</v>
      </c>
      <c r="F26" s="42">
        <v>0</v>
      </c>
      <c r="G26" s="88">
        <v>0</v>
      </c>
      <c r="H26" s="42">
        <f>-'Monthly Revenue Req. (EE&amp;C-2)'!D14</f>
        <v>-118702.47433333336</v>
      </c>
      <c r="I26" s="42">
        <f>-'Monthly Revenue Req. (EE&amp;C-2)'!D15</f>
        <v>-146445.76466666668</v>
      </c>
      <c r="J26" s="42">
        <f>-'Monthly Revenue Req. (EE&amp;C-2)'!D16</f>
        <v>-169782.76658333334</v>
      </c>
      <c r="K26" s="42">
        <f>-'Monthly Revenue Req. (EE&amp;C-2)'!D17</f>
        <v>-197529.1001666667</v>
      </c>
      <c r="L26" s="42">
        <f>-'Monthly Revenue Req. (EE&amp;C-2)'!D18</f>
        <v>-226473.69316666669</v>
      </c>
      <c r="M26" s="57">
        <f>-'Monthly Revenue Req. (EE&amp;C-2)'!D19</f>
        <v>-259465.1521666667</v>
      </c>
      <c r="N26" s="42">
        <f>SUM(B26:M26)</f>
        <v>-1118398.9510833335</v>
      </c>
      <c r="O26" s="71">
        <f>'Monthly Revenue Req. (EE&amp;C-2)'!D30</f>
        <v>300343</v>
      </c>
      <c r="P26" s="35">
        <f>'Monthly Revenue Req. (EE&amp;C-2)'!D31</f>
        <v>337952</v>
      </c>
      <c r="Q26" s="35">
        <f>'Monthly Revenue Req. (EE&amp;C-2)'!D32</f>
        <v>375560</v>
      </c>
      <c r="R26" s="35">
        <f>'Monthly Revenue Req. (EE&amp;C-2)'!D33</f>
        <v>413168</v>
      </c>
      <c r="S26" s="35">
        <f>'Monthly Revenue Req. (EE&amp;C-2)'!D34</f>
        <v>450777</v>
      </c>
      <c r="T26" s="35">
        <f>'Monthly Revenue Req. (EE&amp;C-2)'!D35</f>
        <v>488385</v>
      </c>
      <c r="U26" s="36">
        <f>SUM(O26:T26)</f>
        <v>2366185</v>
      </c>
    </row>
    <row r="27" spans="1:21" ht="15" thickBot="1" x14ac:dyDescent="0.4">
      <c r="A27" s="37" t="s">
        <v>122</v>
      </c>
      <c r="B27" s="46">
        <v>0</v>
      </c>
      <c r="C27" s="38">
        <v>0</v>
      </c>
      <c r="D27" s="38">
        <v>0</v>
      </c>
      <c r="E27" s="38">
        <v>0</v>
      </c>
      <c r="F27" s="38">
        <v>0</v>
      </c>
      <c r="G27" s="46">
        <v>0</v>
      </c>
      <c r="H27" s="38">
        <f>-H26</f>
        <v>118702.47433333336</v>
      </c>
      <c r="I27" s="38">
        <f t="shared" ref="I27:M27" si="8">-I26</f>
        <v>146445.76466666668</v>
      </c>
      <c r="J27" s="38">
        <f t="shared" si="8"/>
        <v>169782.76658333334</v>
      </c>
      <c r="K27" s="38">
        <f t="shared" si="8"/>
        <v>197529.1001666667</v>
      </c>
      <c r="L27" s="38">
        <f t="shared" si="8"/>
        <v>226473.69316666669</v>
      </c>
      <c r="M27" s="38">
        <f t="shared" si="8"/>
        <v>259465.1521666667</v>
      </c>
      <c r="N27" s="38">
        <f>SUM(B27:M27)</f>
        <v>1118398.9510833335</v>
      </c>
      <c r="O27" s="72">
        <f>-O26</f>
        <v>-300343</v>
      </c>
      <c r="P27" s="73">
        <f>-P26</f>
        <v>-337952</v>
      </c>
      <c r="Q27" s="73">
        <f>-Q26</f>
        <v>-375560</v>
      </c>
      <c r="R27" s="73">
        <f t="shared" ref="R27:T27" si="9">-R26</f>
        <v>-413168</v>
      </c>
      <c r="S27" s="73">
        <f t="shared" si="9"/>
        <v>-450777</v>
      </c>
      <c r="T27" s="73">
        <f t="shared" si="9"/>
        <v>-488385</v>
      </c>
      <c r="U27" s="39">
        <f>SUM(O27:T27)</f>
        <v>-2366185</v>
      </c>
    </row>
    <row r="28" spans="1:21" ht="15" thickBot="1" x14ac:dyDescent="0.4">
      <c r="A28" s="27" t="s">
        <v>56</v>
      </c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51"/>
      <c r="N28" s="10"/>
      <c r="U28" s="10"/>
    </row>
    <row r="29" spans="1:21" ht="15" thickBot="1" x14ac:dyDescent="0.4">
      <c r="A29" s="26" t="s">
        <v>123</v>
      </c>
      <c r="B29" s="40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56"/>
      <c r="N29" s="40"/>
      <c r="O29" s="87"/>
      <c r="P29" s="87"/>
      <c r="Q29" s="87"/>
      <c r="R29" s="87"/>
      <c r="S29" s="87"/>
      <c r="T29" s="87"/>
      <c r="U29" s="41"/>
    </row>
    <row r="30" spans="1:21" x14ac:dyDescent="0.35">
      <c r="A30" s="43" t="s">
        <v>121</v>
      </c>
      <c r="B30" s="88">
        <v>0</v>
      </c>
      <c r="C30" s="42">
        <v>0</v>
      </c>
      <c r="D30" s="42">
        <v>0</v>
      </c>
      <c r="E30" s="42">
        <v>0</v>
      </c>
      <c r="F30" s="42">
        <v>0</v>
      </c>
      <c r="G30" s="88">
        <v>0</v>
      </c>
      <c r="H30" s="42">
        <f>-'Monthly Revenue Req. (EE&amp;C-2)'!G14</f>
        <v>-28995.916666666668</v>
      </c>
      <c r="I30" s="42">
        <f>-'Monthly Revenue Req. (EE&amp;C-2)'!G15</f>
        <v>-20570.99666666667</v>
      </c>
      <c r="J30" s="42">
        <f>-'Monthly Revenue Req. (EE&amp;C-2)'!G16</f>
        <v>-14322.219166666668</v>
      </c>
      <c r="K30" s="42">
        <f>-'Monthly Revenue Req. (EE&amp;C-2)'!G17</f>
        <v>-29513.28833333333</v>
      </c>
      <c r="L30" s="42">
        <f>-'Monthly Revenue Req. (EE&amp;C-2)'!G18</f>
        <v>-22684.434166666662</v>
      </c>
      <c r="M30" s="57">
        <f>-'Monthly Revenue Req. (EE&amp;C-2)'!G19</f>
        <v>-17661.863333333331</v>
      </c>
      <c r="N30" s="42">
        <f>SUM(B30:M30)</f>
        <v>-133748.71833333332</v>
      </c>
      <c r="O30" s="71">
        <f>'Monthly Revenue Req. (EE&amp;C-2)'!G30</f>
        <v>-15398.973125000002</v>
      </c>
      <c r="P30" s="35">
        <f>'Monthly Revenue Req. (EE&amp;C-2)'!G31</f>
        <v>-2876.4762500000106</v>
      </c>
      <c r="Q30" s="35">
        <f>'Monthly Revenue Req. (EE&amp;C-2)'!G32</f>
        <v>16653.261458333334</v>
      </c>
      <c r="R30" s="35">
        <f>'Monthly Revenue Req. (EE&amp;C-2)'!G33</f>
        <v>29247.249166666661</v>
      </c>
      <c r="S30" s="35">
        <f>'Monthly Revenue Req. (EE&amp;C-2)'!G34</f>
        <v>45476.870208333326</v>
      </c>
      <c r="T30" s="35">
        <f>'Monthly Revenue Req. (EE&amp;C-2)'!G35</f>
        <v>61596.197916666657</v>
      </c>
      <c r="U30" s="36">
        <f>SUM(O30:T30)</f>
        <v>134698.12937499996</v>
      </c>
    </row>
    <row r="31" spans="1:21" ht="15" thickBot="1" x14ac:dyDescent="0.4">
      <c r="A31" s="37" t="s">
        <v>122</v>
      </c>
      <c r="B31" s="46">
        <v>0</v>
      </c>
      <c r="C31" s="38">
        <v>0</v>
      </c>
      <c r="D31" s="38">
        <v>0</v>
      </c>
      <c r="E31" s="38">
        <v>0</v>
      </c>
      <c r="F31" s="38">
        <v>0</v>
      </c>
      <c r="G31" s="46">
        <v>0</v>
      </c>
      <c r="H31" s="38">
        <f>-H30</f>
        <v>28995.916666666668</v>
      </c>
      <c r="I31" s="38">
        <f t="shared" ref="I31:M31" si="10">-I30</f>
        <v>20570.99666666667</v>
      </c>
      <c r="J31" s="38">
        <f t="shared" si="10"/>
        <v>14322.219166666668</v>
      </c>
      <c r="K31" s="38">
        <f t="shared" si="10"/>
        <v>29513.28833333333</v>
      </c>
      <c r="L31" s="38">
        <f t="shared" si="10"/>
        <v>22684.434166666662</v>
      </c>
      <c r="M31" s="38">
        <f t="shared" si="10"/>
        <v>17661.863333333331</v>
      </c>
      <c r="N31" s="38">
        <f>SUM(B31:M31)</f>
        <v>133748.71833333332</v>
      </c>
      <c r="O31" s="72">
        <f>-O30</f>
        <v>15398.973125000002</v>
      </c>
      <c r="P31" s="73">
        <f>-P30</f>
        <v>2876.4762500000106</v>
      </c>
      <c r="Q31" s="73">
        <f>-Q30</f>
        <v>-16653.261458333334</v>
      </c>
      <c r="R31" s="73">
        <f t="shared" ref="R31:T31" si="11">-R30</f>
        <v>-29247.249166666661</v>
      </c>
      <c r="S31" s="73">
        <f t="shared" si="11"/>
        <v>-45476.870208333326</v>
      </c>
      <c r="T31" s="73">
        <f t="shared" si="11"/>
        <v>-61596.197916666657</v>
      </c>
      <c r="U31" s="39">
        <f>SUM(O31:T31)</f>
        <v>-134698.12937499996</v>
      </c>
    </row>
    <row r="32" spans="1:21" x14ac:dyDescent="0.35"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</row>
  </sheetData>
  <mergeCells count="2">
    <mergeCell ref="B6:N6"/>
    <mergeCell ref="O6:T6"/>
  </mergeCells>
  <phoneticPr fontId="13" type="noConversion"/>
  <pageMargins left="0.7" right="0.7" top="0.75" bottom="0.75" header="0.3" footer="0.3"/>
  <pageSetup scale="55" orientation="landscape" horizontalDpi="4294967293" vertic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E911B5-4C2D-4EF3-A336-91CC2985D0D1}">
  <sheetPr>
    <pageSetUpPr fitToPage="1"/>
  </sheetPr>
  <dimension ref="A1:L38"/>
  <sheetViews>
    <sheetView workbookViewId="0">
      <selection activeCell="G29" sqref="G29"/>
    </sheetView>
  </sheetViews>
  <sheetFormatPr defaultRowHeight="14.5" x14ac:dyDescent="0.35"/>
  <cols>
    <col min="10" max="10" width="12" customWidth="1"/>
  </cols>
  <sheetData>
    <row r="1" spans="1:10" ht="15.5" x14ac:dyDescent="0.35">
      <c r="A1" s="6" t="s">
        <v>0</v>
      </c>
      <c r="J1" s="92" t="s">
        <v>163</v>
      </c>
    </row>
    <row r="2" spans="1:10" ht="15.5" x14ac:dyDescent="0.35">
      <c r="A2" s="7" t="s">
        <v>1</v>
      </c>
      <c r="J2" s="92" t="s">
        <v>230</v>
      </c>
    </row>
    <row r="3" spans="1:10" ht="15.5" x14ac:dyDescent="0.35">
      <c r="A3" s="7" t="s">
        <v>124</v>
      </c>
    </row>
    <row r="31" spans="12:12" x14ac:dyDescent="0.35">
      <c r="L31" s="93" t="s">
        <v>125</v>
      </c>
    </row>
    <row r="38" spans="1:1" x14ac:dyDescent="0.35">
      <c r="A38" s="93" t="s">
        <v>125</v>
      </c>
    </row>
  </sheetData>
  <pageMargins left="0.7" right="0.7" top="0.75" bottom="0.75" header="0.3" footer="0.3"/>
  <pageSetup scale="82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7FC4CE-9A3C-4C51-8D74-2A9D622C5C9C}">
  <dimension ref="A1:AH211"/>
  <sheetViews>
    <sheetView workbookViewId="0">
      <selection activeCell="X13" sqref="X13"/>
    </sheetView>
  </sheetViews>
  <sheetFormatPr defaultRowHeight="14.5" x14ac:dyDescent="0.35"/>
  <cols>
    <col min="4" max="4" width="10.1796875" bestFit="1" customWidth="1"/>
    <col min="5" max="6" width="13.90625" style="10" bestFit="1" customWidth="1"/>
    <col min="7" max="7" width="12.1796875" style="10" bestFit="1" customWidth="1"/>
    <col min="8" max="8" width="15.08984375" style="10" bestFit="1" customWidth="1"/>
    <col min="9" max="10" width="11.1796875" bestFit="1" customWidth="1"/>
    <col min="11" max="11" width="10.1796875" bestFit="1" customWidth="1"/>
    <col min="12" max="12" width="12.1796875" bestFit="1" customWidth="1"/>
    <col min="13" max="13" width="9" bestFit="1" customWidth="1"/>
    <col min="14" max="14" width="12.1796875" bestFit="1" customWidth="1"/>
    <col min="15" max="16" width="11.1796875" bestFit="1" customWidth="1"/>
    <col min="17" max="17" width="9.90625" bestFit="1" customWidth="1"/>
    <col min="18" max="18" width="11.1796875" bestFit="1" customWidth="1"/>
    <col min="19" max="19" width="10.1796875" bestFit="1" customWidth="1"/>
    <col min="20" max="20" width="11.1796875" bestFit="1" customWidth="1"/>
    <col min="21" max="21" width="10.1796875" bestFit="1" customWidth="1"/>
    <col min="22" max="22" width="7.81640625" bestFit="1" customWidth="1"/>
    <col min="23" max="23" width="11.1796875" bestFit="1" customWidth="1"/>
    <col min="24" max="24" width="10.1796875" bestFit="1" customWidth="1"/>
    <col min="25" max="25" width="11.1796875" bestFit="1" customWidth="1"/>
    <col min="26" max="27" width="10.1796875" bestFit="1" customWidth="1"/>
    <col min="28" max="28" width="9.90625" bestFit="1" customWidth="1"/>
    <col min="29" max="30" width="11.1796875" bestFit="1" customWidth="1"/>
    <col min="31" max="32" width="10.1796875" bestFit="1" customWidth="1"/>
    <col min="33" max="33" width="11.1796875" bestFit="1" customWidth="1"/>
    <col min="34" max="34" width="13.90625" bestFit="1" customWidth="1"/>
  </cols>
  <sheetData>
    <row r="1" spans="1:34" x14ac:dyDescent="0.35">
      <c r="A1" s="3" t="s">
        <v>126</v>
      </c>
      <c r="B1" s="3"/>
      <c r="C1" s="3"/>
      <c r="H1" s="92"/>
    </row>
    <row r="2" spans="1:34" x14ac:dyDescent="0.35">
      <c r="A2" s="3" t="s">
        <v>1</v>
      </c>
      <c r="H2" s="92"/>
    </row>
    <row r="3" spans="1:34" x14ac:dyDescent="0.35">
      <c r="A3" s="3" t="s">
        <v>127</v>
      </c>
    </row>
    <row r="6" spans="1:34" x14ac:dyDescent="0.35">
      <c r="D6" s="103" t="s">
        <v>179</v>
      </c>
      <c r="E6" s="103" t="s">
        <v>128</v>
      </c>
      <c r="F6" s="103" t="s">
        <v>128</v>
      </c>
      <c r="G6" s="103" t="s">
        <v>128</v>
      </c>
      <c r="H6" s="103" t="s">
        <v>128</v>
      </c>
      <c r="I6" t="s">
        <v>128</v>
      </c>
      <c r="J6" t="s">
        <v>128</v>
      </c>
      <c r="K6" t="s">
        <v>129</v>
      </c>
      <c r="L6" t="s">
        <v>129</v>
      </c>
      <c r="M6" t="s">
        <v>129</v>
      </c>
      <c r="N6" t="s">
        <v>129</v>
      </c>
      <c r="O6" t="s">
        <v>129</v>
      </c>
      <c r="P6" t="s">
        <v>129</v>
      </c>
      <c r="Q6" t="s">
        <v>129</v>
      </c>
      <c r="R6" t="s">
        <v>129</v>
      </c>
      <c r="S6" t="s">
        <v>129</v>
      </c>
      <c r="T6" t="s">
        <v>129</v>
      </c>
      <c r="U6" t="s">
        <v>129</v>
      </c>
      <c r="V6" t="s">
        <v>130</v>
      </c>
      <c r="W6" t="s">
        <v>130</v>
      </c>
      <c r="X6" t="s">
        <v>130</v>
      </c>
      <c r="Y6" t="s">
        <v>130</v>
      </c>
      <c r="Z6" t="s">
        <v>130</v>
      </c>
      <c r="AA6" t="s">
        <v>130</v>
      </c>
      <c r="AB6" t="s">
        <v>130</v>
      </c>
      <c r="AC6" t="s">
        <v>130</v>
      </c>
      <c r="AD6" t="s">
        <v>130</v>
      </c>
      <c r="AE6" t="s">
        <v>130</v>
      </c>
      <c r="AF6" t="s">
        <v>130</v>
      </c>
      <c r="AG6" t="s">
        <v>130</v>
      </c>
    </row>
    <row r="7" spans="1:34" x14ac:dyDescent="0.35">
      <c r="D7" s="103" t="s">
        <v>146</v>
      </c>
      <c r="E7" s="103" t="s">
        <v>133</v>
      </c>
      <c r="F7" s="103" t="s">
        <v>158</v>
      </c>
      <c r="G7" s="103" t="s">
        <v>159</v>
      </c>
      <c r="H7" s="103" t="s">
        <v>160</v>
      </c>
      <c r="I7" t="s">
        <v>161</v>
      </c>
      <c r="J7" t="s">
        <v>162</v>
      </c>
      <c r="K7" t="s">
        <v>133</v>
      </c>
      <c r="L7" t="s">
        <v>147</v>
      </c>
      <c r="M7" t="s">
        <v>148</v>
      </c>
      <c r="N7" t="s">
        <v>149</v>
      </c>
      <c r="O7" t="s">
        <v>150</v>
      </c>
      <c r="P7" t="s">
        <v>151</v>
      </c>
      <c r="Q7" t="s">
        <v>152</v>
      </c>
      <c r="R7" t="s">
        <v>153</v>
      </c>
      <c r="S7" t="s">
        <v>154</v>
      </c>
      <c r="T7" t="s">
        <v>155</v>
      </c>
      <c r="U7" t="s">
        <v>156</v>
      </c>
      <c r="V7" t="s">
        <v>133</v>
      </c>
      <c r="W7" t="s">
        <v>147</v>
      </c>
      <c r="X7" t="s">
        <v>148</v>
      </c>
      <c r="Y7" t="s">
        <v>149</v>
      </c>
      <c r="Z7" t="s">
        <v>150</v>
      </c>
      <c r="AA7" t="s">
        <v>151</v>
      </c>
      <c r="AB7" t="s">
        <v>152</v>
      </c>
      <c r="AC7" t="s">
        <v>153</v>
      </c>
      <c r="AD7" t="s">
        <v>154</v>
      </c>
      <c r="AE7" t="s">
        <v>155</v>
      </c>
      <c r="AF7" t="s">
        <v>156</v>
      </c>
      <c r="AG7" t="s">
        <v>157</v>
      </c>
    </row>
    <row r="8" spans="1:34" x14ac:dyDescent="0.35">
      <c r="B8" t="s">
        <v>131</v>
      </c>
      <c r="C8" t="s">
        <v>140</v>
      </c>
      <c r="D8" s="10">
        <v>7607046.3368915003</v>
      </c>
      <c r="E8" s="10">
        <v>81730.222808599996</v>
      </c>
      <c r="F8" s="10">
        <v>706684713.02279997</v>
      </c>
      <c r="G8" s="10">
        <v>122925741.17635199</v>
      </c>
      <c r="H8" s="10">
        <v>1779217.186677</v>
      </c>
      <c r="I8" s="10">
        <v>11072164.7582094</v>
      </c>
      <c r="J8" s="10">
        <v>9889481.8970919997</v>
      </c>
      <c r="K8" s="10">
        <v>1871028.2782306001</v>
      </c>
      <c r="L8" s="10">
        <v>86097495.656801</v>
      </c>
      <c r="M8" s="10">
        <v>104496.7590324</v>
      </c>
      <c r="N8" s="10">
        <v>496785533.964136</v>
      </c>
      <c r="O8" s="10">
        <v>9360585.9912406001</v>
      </c>
      <c r="P8" s="10">
        <v>35847403.304989502</v>
      </c>
      <c r="Q8" s="10">
        <v>363347.0929395</v>
      </c>
      <c r="R8" s="10">
        <v>61163684.472319297</v>
      </c>
      <c r="S8" s="10">
        <v>1109567.2250438</v>
      </c>
      <c r="T8" s="10">
        <v>7904930.6281070001</v>
      </c>
      <c r="U8" s="10">
        <v>65099.5271603</v>
      </c>
      <c r="V8" s="10">
        <v>55561.906298100002</v>
      </c>
      <c r="W8" s="10">
        <v>42758664.058394</v>
      </c>
      <c r="X8" s="10">
        <v>993841.92303009995</v>
      </c>
      <c r="Y8" s="10">
        <v>25261360.687190302</v>
      </c>
      <c r="Z8" s="10">
        <v>1767511.8848096</v>
      </c>
      <c r="AA8" s="10">
        <v>4934828.8673927998</v>
      </c>
      <c r="AB8" s="10">
        <v>658929.32597590005</v>
      </c>
      <c r="AC8" s="10">
        <v>51090566.421574801</v>
      </c>
      <c r="AD8" s="10">
        <v>11129340.720697399</v>
      </c>
      <c r="AE8" s="10">
        <v>6569355.4856930003</v>
      </c>
      <c r="AF8" s="10">
        <v>2488850.5189442001</v>
      </c>
      <c r="AG8" s="10">
        <v>18596576</v>
      </c>
      <c r="AH8" s="10">
        <v>1727018655.3008308</v>
      </c>
    </row>
    <row r="9" spans="1:34" x14ac:dyDescent="0.35">
      <c r="B9" t="s">
        <v>131</v>
      </c>
      <c r="C9" t="s">
        <v>141</v>
      </c>
      <c r="D9" s="10">
        <v>7609063.6153034</v>
      </c>
      <c r="E9" s="10">
        <v>81493.012168899993</v>
      </c>
      <c r="F9" s="10">
        <v>663313157.68208802</v>
      </c>
      <c r="G9" s="10">
        <v>126874058.91207311</v>
      </c>
      <c r="H9" s="10">
        <v>1803587.4535377</v>
      </c>
      <c r="I9" s="10">
        <v>10798446.9564596</v>
      </c>
      <c r="J9" s="10">
        <v>10198447.213242199</v>
      </c>
      <c r="K9" s="10">
        <v>1869589.2583041</v>
      </c>
      <c r="L9" s="10">
        <v>85676140.926434606</v>
      </c>
      <c r="M9" s="10">
        <v>117164.65983619999</v>
      </c>
      <c r="N9" s="10">
        <v>481906202.53147793</v>
      </c>
      <c r="O9" s="10">
        <v>8702600.3925128002</v>
      </c>
      <c r="P9" s="10">
        <v>35290490.539931603</v>
      </c>
      <c r="Q9" s="10">
        <v>332861.06479600002</v>
      </c>
      <c r="R9" s="10">
        <v>59605937.500688799</v>
      </c>
      <c r="S9" s="10">
        <v>920494.19364399998</v>
      </c>
      <c r="T9" s="10">
        <v>7698760.8860109998</v>
      </c>
      <c r="U9" s="10">
        <v>89639.0463628</v>
      </c>
      <c r="V9" s="10">
        <v>55480.941352499998</v>
      </c>
      <c r="W9" s="10">
        <v>45068312.356431201</v>
      </c>
      <c r="X9" s="10">
        <v>928987.55106490001</v>
      </c>
      <c r="Y9" s="10">
        <v>27333723.0587551</v>
      </c>
      <c r="Z9" s="10">
        <v>1810065.1580441</v>
      </c>
      <c r="AA9" s="10">
        <v>5240666.8801702997</v>
      </c>
      <c r="AB9" s="10">
        <v>707237.05693830003</v>
      </c>
      <c r="AC9" s="10">
        <v>48651979.656408504</v>
      </c>
      <c r="AD9" s="10">
        <v>11029959.911685601</v>
      </c>
      <c r="AE9" s="10">
        <v>4390244.1101451004</v>
      </c>
      <c r="AF9" s="10">
        <v>2334488.2190045002</v>
      </c>
      <c r="AG9" s="10">
        <v>16247185</v>
      </c>
      <c r="AH9" s="10">
        <v>1666686465.7448733</v>
      </c>
    </row>
    <row r="10" spans="1:34" x14ac:dyDescent="0.35">
      <c r="B10" t="s">
        <v>131</v>
      </c>
      <c r="C10" t="s">
        <v>142</v>
      </c>
      <c r="D10" s="10">
        <v>7611085.2374593001</v>
      </c>
      <c r="E10" s="10">
        <v>81256.5317565</v>
      </c>
      <c r="F10" s="10">
        <v>612446864.33720398</v>
      </c>
      <c r="G10" s="10">
        <v>118011915.942203</v>
      </c>
      <c r="H10" s="10">
        <v>1567211.6019067001</v>
      </c>
      <c r="I10" s="10">
        <v>9929566.0404921006</v>
      </c>
      <c r="J10" s="10">
        <v>9171350.4213456009</v>
      </c>
      <c r="K10" s="10">
        <v>1868151.5582038001</v>
      </c>
      <c r="L10" s="10">
        <v>85136283.013707697</v>
      </c>
      <c r="M10" s="10">
        <v>126369.40850229999</v>
      </c>
      <c r="N10" s="10">
        <v>478460466.23655409</v>
      </c>
      <c r="O10" s="10">
        <v>8752079.6923369002</v>
      </c>
      <c r="P10" s="10">
        <v>34816627.076433398</v>
      </c>
      <c r="Q10" s="10">
        <v>342191.72761290002</v>
      </c>
      <c r="R10" s="10">
        <v>58103312.463451996</v>
      </c>
      <c r="S10" s="10">
        <v>502102.92437889997</v>
      </c>
      <c r="T10" s="10">
        <v>7837546.9157018</v>
      </c>
      <c r="U10" s="10">
        <v>63778.183116100001</v>
      </c>
      <c r="V10" s="10">
        <v>55400.126358399997</v>
      </c>
      <c r="W10" s="10">
        <v>45352529.6979644</v>
      </c>
      <c r="X10" s="10">
        <v>927965.70589500002</v>
      </c>
      <c r="Y10" s="10">
        <v>26916940.517095301</v>
      </c>
      <c r="Z10" s="10">
        <v>1606285.3238909</v>
      </c>
      <c r="AA10" s="10">
        <v>5166869.1634948999</v>
      </c>
      <c r="AB10" s="10">
        <v>642885.07827679999</v>
      </c>
      <c r="AC10" s="10">
        <v>51179762.613938197</v>
      </c>
      <c r="AD10" s="10">
        <v>10636879.8622385</v>
      </c>
      <c r="AE10" s="10">
        <v>6740478.0534442002</v>
      </c>
      <c r="AF10" s="10">
        <v>2328127.0574034001</v>
      </c>
      <c r="AG10" s="10">
        <v>19762603</v>
      </c>
      <c r="AH10" s="10">
        <v>1606144885.5123672</v>
      </c>
    </row>
    <row r="11" spans="1:34" x14ac:dyDescent="0.35">
      <c r="B11" t="s">
        <v>131</v>
      </c>
      <c r="C11" t="s">
        <v>143</v>
      </c>
      <c r="D11" s="10">
        <v>7613111.2068167003</v>
      </c>
      <c r="E11" s="10">
        <v>81020.779444200001</v>
      </c>
      <c r="F11" s="10">
        <v>540302524.16859686</v>
      </c>
      <c r="G11" s="10">
        <v>85635517.287198693</v>
      </c>
      <c r="H11" s="10">
        <v>1136867.3307473999</v>
      </c>
      <c r="I11" s="10">
        <v>8152542.3731116997</v>
      </c>
      <c r="J11" s="10">
        <v>6607238.1883049998</v>
      </c>
      <c r="K11" s="10">
        <v>1866715.1770621999</v>
      </c>
      <c r="L11" s="10">
        <v>80143071.348114803</v>
      </c>
      <c r="M11" s="10">
        <v>103244.6167731</v>
      </c>
      <c r="N11" s="10">
        <v>446892800.612194</v>
      </c>
      <c r="O11" s="10">
        <v>9027069.5894888006</v>
      </c>
      <c r="P11" s="10">
        <v>31283439.021102998</v>
      </c>
      <c r="Q11" s="10">
        <v>373109.94823450001</v>
      </c>
      <c r="R11" s="10">
        <v>52282312.036897302</v>
      </c>
      <c r="S11" s="10">
        <v>443832.14365380001</v>
      </c>
      <c r="T11" s="10">
        <v>7106426.4636038998</v>
      </c>
      <c r="U11" s="10">
        <v>203718.94287470001</v>
      </c>
      <c r="V11" s="10">
        <v>55319.460957700001</v>
      </c>
      <c r="W11" s="10">
        <v>44225371.675659798</v>
      </c>
      <c r="X11" s="10">
        <v>975966.47087099997</v>
      </c>
      <c r="Y11" s="10">
        <v>25922324.5809245</v>
      </c>
      <c r="Z11" s="10">
        <v>1571627.5178261001</v>
      </c>
      <c r="AA11" s="10">
        <v>4893697.4999569003</v>
      </c>
      <c r="AB11" s="10">
        <v>641520.93105030002</v>
      </c>
      <c r="AC11" s="10">
        <v>49716302.224375799</v>
      </c>
      <c r="AD11" s="10">
        <v>10145700.677714599</v>
      </c>
      <c r="AE11" s="10">
        <v>3334056.7977296999</v>
      </c>
      <c r="AF11" s="10">
        <v>2319308.7629336999</v>
      </c>
      <c r="AG11" s="10">
        <v>17843450</v>
      </c>
      <c r="AH11" s="10">
        <v>1440899207.8342209</v>
      </c>
    </row>
    <row r="12" spans="1:34" x14ac:dyDescent="0.35">
      <c r="B12" t="s">
        <v>131</v>
      </c>
      <c r="C12" t="s">
        <v>144</v>
      </c>
      <c r="D12" s="10">
        <v>7615141.5268454002</v>
      </c>
      <c r="E12" s="10">
        <v>80785.753111400001</v>
      </c>
      <c r="F12" s="10">
        <v>510729065.31307</v>
      </c>
      <c r="G12" s="10">
        <v>60253169.295169398</v>
      </c>
      <c r="H12" s="10">
        <v>922909.67974469997</v>
      </c>
      <c r="I12" s="10">
        <v>7097057.6864762995</v>
      </c>
      <c r="J12" s="10">
        <v>4700404.352589</v>
      </c>
      <c r="K12" s="10">
        <v>1865280.1140145999</v>
      </c>
      <c r="L12" s="10">
        <v>79564366.512338296</v>
      </c>
      <c r="M12" s="10">
        <v>91397.523323000001</v>
      </c>
      <c r="N12" s="10">
        <v>422004749.63974291</v>
      </c>
      <c r="O12" s="10">
        <v>9167093.9951061998</v>
      </c>
      <c r="P12" s="10">
        <v>31115842.698046301</v>
      </c>
      <c r="Q12" s="10">
        <v>381393.36567899998</v>
      </c>
      <c r="R12" s="10">
        <v>50239373.264346197</v>
      </c>
      <c r="S12" s="10">
        <v>916329.39540020004</v>
      </c>
      <c r="T12" s="10">
        <v>7418407.7837611996</v>
      </c>
      <c r="U12" s="10">
        <v>896029.80824200006</v>
      </c>
      <c r="V12" s="10">
        <v>55238.944793299997</v>
      </c>
      <c r="W12" s="10">
        <v>41448053.094706297</v>
      </c>
      <c r="X12" s="10">
        <v>1008195.253974</v>
      </c>
      <c r="Y12" s="10">
        <v>23313732.406491902</v>
      </c>
      <c r="Z12" s="10">
        <v>1836985.4542165</v>
      </c>
      <c r="AA12" s="10">
        <v>4628660.8662302997</v>
      </c>
      <c r="AB12" s="10">
        <v>656865.85533329996</v>
      </c>
      <c r="AC12" s="10">
        <v>48396388.373695798</v>
      </c>
      <c r="AD12" s="10">
        <v>9637059.804211</v>
      </c>
      <c r="AE12" s="10">
        <v>4294489.8422181001</v>
      </c>
      <c r="AF12" s="10">
        <v>2077748.1041296001</v>
      </c>
      <c r="AG12" s="10">
        <v>18016920</v>
      </c>
      <c r="AH12" s="10">
        <v>1350429135.7070065</v>
      </c>
    </row>
    <row r="13" spans="1:34" x14ac:dyDescent="0.35">
      <c r="B13" t="s">
        <v>131</v>
      </c>
      <c r="C13" t="s">
        <v>145</v>
      </c>
      <c r="D13" s="10">
        <v>7617176.2010273999</v>
      </c>
      <c r="E13" s="10">
        <v>80551.450644500001</v>
      </c>
      <c r="F13" s="10">
        <v>670046638.49870312</v>
      </c>
      <c r="G13" s="10">
        <v>53682679.688481599</v>
      </c>
      <c r="H13" s="10">
        <v>931798.00980260002</v>
      </c>
      <c r="I13" s="10">
        <v>8040772.1235525999</v>
      </c>
      <c r="J13" s="10">
        <v>3911769.3752052998</v>
      </c>
      <c r="K13" s="10">
        <v>1863846.3681983999</v>
      </c>
      <c r="L13" s="10">
        <v>89609095.386351094</v>
      </c>
      <c r="M13" s="10">
        <v>103641.1787377</v>
      </c>
      <c r="N13" s="10">
        <v>479546637.934398</v>
      </c>
      <c r="O13" s="10">
        <v>10088257.5015762</v>
      </c>
      <c r="P13" s="10">
        <v>29869631.188463699</v>
      </c>
      <c r="Q13" s="10">
        <v>435570.40355340001</v>
      </c>
      <c r="R13" s="10">
        <v>57148840.409960799</v>
      </c>
      <c r="S13" s="10">
        <v>653835.01505150006</v>
      </c>
      <c r="T13" s="10">
        <v>8558984.6597531997</v>
      </c>
      <c r="U13" s="10">
        <v>608577.85395619995</v>
      </c>
      <c r="V13" s="10">
        <v>55158.577509199997</v>
      </c>
      <c r="W13" s="10">
        <v>43806132.647556402</v>
      </c>
      <c r="X13" s="10">
        <v>1241591.2081454999</v>
      </c>
      <c r="Y13" s="10">
        <v>24719184.764051799</v>
      </c>
      <c r="Z13" s="10">
        <v>2163562.3989754999</v>
      </c>
      <c r="AA13" s="10">
        <v>4609396.1174825002</v>
      </c>
      <c r="AB13" s="10">
        <v>715951.74721189996</v>
      </c>
      <c r="AC13" s="10">
        <v>52126602.908908099</v>
      </c>
      <c r="AD13" s="10">
        <v>10059550.2940503</v>
      </c>
      <c r="AE13" s="10">
        <v>4506174.9040075</v>
      </c>
      <c r="AF13" s="10">
        <v>2139205.3321011998</v>
      </c>
      <c r="AG13" s="10">
        <v>18040363</v>
      </c>
      <c r="AH13" s="10">
        <v>1586981177.1474171</v>
      </c>
    </row>
    <row r="14" spans="1:34" x14ac:dyDescent="0.35">
      <c r="B14" t="s">
        <v>131</v>
      </c>
      <c r="C14" t="s">
        <v>180</v>
      </c>
      <c r="D14" s="10">
        <v>7619215.2328569004</v>
      </c>
      <c r="E14" s="10">
        <v>80317.869936599993</v>
      </c>
      <c r="F14" s="10">
        <v>998339338.73656404</v>
      </c>
      <c r="G14" s="10">
        <v>64139708.902817398</v>
      </c>
      <c r="H14" s="10">
        <v>1169850.3956394</v>
      </c>
      <c r="I14" s="10">
        <v>10915358.501751101</v>
      </c>
      <c r="J14" s="10">
        <v>4448531.1191328</v>
      </c>
      <c r="K14" s="10">
        <v>1862413.9387534</v>
      </c>
      <c r="L14" s="10">
        <v>99882786.346125603</v>
      </c>
      <c r="M14" s="10">
        <v>114176.6879428</v>
      </c>
      <c r="N14" s="10">
        <v>543883513.03126502</v>
      </c>
      <c r="O14" s="10">
        <v>11192037.5775325</v>
      </c>
      <c r="P14" s="10">
        <v>36052623.566832602</v>
      </c>
      <c r="Q14" s="10">
        <v>505040.87943859998</v>
      </c>
      <c r="R14" s="10">
        <v>61593810.870515503</v>
      </c>
      <c r="S14" s="10">
        <v>878580.89514479996</v>
      </c>
      <c r="T14" s="10">
        <v>9796549.3948292006</v>
      </c>
      <c r="U14" s="10">
        <v>432133.0116196</v>
      </c>
      <c r="V14" s="10">
        <v>55078.358750500003</v>
      </c>
      <c r="W14" s="10">
        <v>49864943.340626501</v>
      </c>
      <c r="X14" s="10">
        <v>1593919.6103763001</v>
      </c>
      <c r="Y14" s="10">
        <v>29123290.3505233</v>
      </c>
      <c r="Z14" s="10">
        <v>2517876.7045347001</v>
      </c>
      <c r="AA14" s="10">
        <v>5552892.6231268998</v>
      </c>
      <c r="AB14" s="10">
        <v>910474.38422330003</v>
      </c>
      <c r="AC14" s="10">
        <v>56071002.502430901</v>
      </c>
      <c r="AD14" s="10">
        <v>10804024.5730749</v>
      </c>
      <c r="AE14" s="10">
        <v>4807672.2149780001</v>
      </c>
      <c r="AF14" s="10">
        <v>2440612.3373548002</v>
      </c>
      <c r="AG14" s="10">
        <v>19585559</v>
      </c>
      <c r="AH14" s="10">
        <v>2036233332.958698</v>
      </c>
    </row>
    <row r="15" spans="1:34" x14ac:dyDescent="0.35">
      <c r="B15" t="s">
        <v>131</v>
      </c>
      <c r="C15" t="s">
        <v>181</v>
      </c>
      <c r="D15" s="10">
        <v>7621258.6258404003</v>
      </c>
      <c r="E15" s="10">
        <v>80085.008887699994</v>
      </c>
      <c r="F15" s="10">
        <v>1068282136.48945</v>
      </c>
      <c r="G15" s="10">
        <v>68582510.210256204</v>
      </c>
      <c r="H15" s="10">
        <v>1144838.6630996999</v>
      </c>
      <c r="I15" s="10">
        <v>11437501.0190985</v>
      </c>
      <c r="J15" s="10">
        <v>4660289.3096343996</v>
      </c>
      <c r="K15" s="10">
        <v>1860982.8248218</v>
      </c>
      <c r="L15" s="10">
        <v>104806027.236628</v>
      </c>
      <c r="M15" s="10">
        <v>134569.27038949999</v>
      </c>
      <c r="N15" s="10">
        <v>578258988.61058605</v>
      </c>
      <c r="O15" s="10">
        <v>11118001.7285229</v>
      </c>
      <c r="P15" s="10">
        <v>37656410.809593998</v>
      </c>
      <c r="Q15" s="10">
        <v>502159.43493579997</v>
      </c>
      <c r="R15" s="10">
        <v>64124525.7302913</v>
      </c>
      <c r="S15" s="10">
        <v>791288.23292149999</v>
      </c>
      <c r="T15" s="10">
        <v>10180687.7285727</v>
      </c>
      <c r="U15" s="10">
        <v>431660.59273620002</v>
      </c>
      <c r="V15" s="10">
        <v>54998.288162999997</v>
      </c>
      <c r="W15" s="10">
        <v>48880170.755859502</v>
      </c>
      <c r="X15" s="10">
        <v>1441326.4558581</v>
      </c>
      <c r="Y15" s="10">
        <v>29404781.154947601</v>
      </c>
      <c r="Z15" s="10">
        <v>2498992.5333497999</v>
      </c>
      <c r="AA15" s="10">
        <v>5475847.2367214002</v>
      </c>
      <c r="AB15" s="10">
        <v>867387.58779390005</v>
      </c>
      <c r="AC15" s="10">
        <v>57278696.479372002</v>
      </c>
      <c r="AD15" s="10">
        <v>10045033.247431099</v>
      </c>
      <c r="AE15" s="10">
        <v>5508153.6302172998</v>
      </c>
      <c r="AF15" s="10">
        <v>2214390.7302863002</v>
      </c>
      <c r="AG15" s="10">
        <v>19108802</v>
      </c>
      <c r="AH15" s="10">
        <v>2154452501.626267</v>
      </c>
    </row>
    <row r="16" spans="1:34" x14ac:dyDescent="0.35">
      <c r="B16" t="s">
        <v>131</v>
      </c>
      <c r="C16" t="s">
        <v>182</v>
      </c>
      <c r="D16" s="10">
        <v>7623306.3834966002</v>
      </c>
      <c r="E16" s="10">
        <v>79852.865404700002</v>
      </c>
      <c r="F16" s="10">
        <v>951937678.87054896</v>
      </c>
      <c r="G16" s="10">
        <v>63401033.5645772</v>
      </c>
      <c r="H16" s="10">
        <v>1067243.2872257</v>
      </c>
      <c r="I16" s="10">
        <v>10302820.0186156</v>
      </c>
      <c r="J16" s="10">
        <v>4263689.9671274005</v>
      </c>
      <c r="K16" s="10">
        <v>1859553.0255481999</v>
      </c>
      <c r="L16" s="10">
        <v>98230111.637818307</v>
      </c>
      <c r="M16" s="10">
        <v>112792.0811547</v>
      </c>
      <c r="N16" s="10">
        <v>532607004.28107297</v>
      </c>
      <c r="O16" s="10">
        <v>10800137.486576</v>
      </c>
      <c r="P16" s="10">
        <v>35855903.7695034</v>
      </c>
      <c r="Q16" s="10">
        <v>462653.77237070003</v>
      </c>
      <c r="R16" s="10">
        <v>62085798.070230499</v>
      </c>
      <c r="S16" s="10">
        <v>986482.35602359998</v>
      </c>
      <c r="T16" s="10">
        <v>8057961.8012576997</v>
      </c>
      <c r="U16" s="10">
        <v>451284.01844389999</v>
      </c>
      <c r="V16" s="10">
        <v>54918.3653939</v>
      </c>
      <c r="W16" s="10">
        <v>48956344.064127401</v>
      </c>
      <c r="X16" s="10">
        <v>1346628.0546383001</v>
      </c>
      <c r="Y16" s="10">
        <v>28885954.962916698</v>
      </c>
      <c r="Z16" s="10">
        <v>2396445.7117325999</v>
      </c>
      <c r="AA16" s="10">
        <v>5642410.3546398003</v>
      </c>
      <c r="AB16" s="10">
        <v>755432.95966589998</v>
      </c>
      <c r="AC16" s="10">
        <v>53975263.261826798</v>
      </c>
      <c r="AD16" s="10">
        <v>10595887.522995699</v>
      </c>
      <c r="AE16" s="10">
        <v>5641331.6549707996</v>
      </c>
      <c r="AF16" s="10">
        <v>2413745.7870923001</v>
      </c>
      <c r="AG16" s="10">
        <v>17384180</v>
      </c>
      <c r="AH16" s="10">
        <v>1968233849.9569962</v>
      </c>
    </row>
    <row r="17" spans="2:34" x14ac:dyDescent="0.35">
      <c r="B17" t="s">
        <v>131</v>
      </c>
      <c r="C17" t="s">
        <v>183</v>
      </c>
      <c r="D17" s="10">
        <v>7625358.5093569001</v>
      </c>
      <c r="E17" s="10">
        <v>79621.437401000003</v>
      </c>
      <c r="F17" s="10">
        <v>640026365.11023796</v>
      </c>
      <c r="G17" s="10">
        <v>48389674.191575304</v>
      </c>
      <c r="H17" s="10">
        <v>853942.26917420002</v>
      </c>
      <c r="I17" s="10">
        <v>7433535.5680165002</v>
      </c>
      <c r="J17" s="10">
        <v>3405673.8215234</v>
      </c>
      <c r="K17" s="10">
        <v>1858124.5400793999</v>
      </c>
      <c r="L17" s="10">
        <v>89044407.248951897</v>
      </c>
      <c r="M17" s="10">
        <v>96575.056615399997</v>
      </c>
      <c r="N17" s="10">
        <v>471966606.24381697</v>
      </c>
      <c r="O17" s="10">
        <v>9995598.2504089996</v>
      </c>
      <c r="P17" s="10">
        <v>31474842.231629901</v>
      </c>
      <c r="Q17" s="10">
        <v>416615.63080619997</v>
      </c>
      <c r="R17" s="10">
        <v>57080468.778796002</v>
      </c>
      <c r="S17" s="10">
        <v>977807.48926890001</v>
      </c>
      <c r="T17" s="10">
        <v>7403158.9031470995</v>
      </c>
      <c r="U17" s="10">
        <v>2089089.0264797001</v>
      </c>
      <c r="V17" s="10">
        <v>54838.5900912</v>
      </c>
      <c r="W17" s="10">
        <v>44814864.335158698</v>
      </c>
      <c r="X17" s="10">
        <v>1164781.0407865001</v>
      </c>
      <c r="Y17" s="10">
        <v>25305454.478755299</v>
      </c>
      <c r="Z17" s="10">
        <v>2168363.6522728</v>
      </c>
      <c r="AA17" s="10">
        <v>4867998.0145784002</v>
      </c>
      <c r="AB17" s="10">
        <v>667278.65439829999</v>
      </c>
      <c r="AC17" s="10">
        <v>52062055.958492301</v>
      </c>
      <c r="AD17" s="10">
        <v>9898201.9983377997</v>
      </c>
      <c r="AE17" s="10">
        <v>6115050.4350194996</v>
      </c>
      <c r="AF17" s="10">
        <v>2157478.8421092001</v>
      </c>
      <c r="AG17" s="10">
        <v>20393454</v>
      </c>
      <c r="AH17" s="10">
        <v>1549887284.3072851</v>
      </c>
    </row>
    <row r="18" spans="2:34" x14ac:dyDescent="0.35">
      <c r="B18" t="s">
        <v>131</v>
      </c>
      <c r="C18" t="s">
        <v>184</v>
      </c>
      <c r="D18" s="10">
        <v>7627415.0069645001</v>
      </c>
      <c r="E18" s="10">
        <v>79390.722796999995</v>
      </c>
      <c r="F18" s="10">
        <v>532951300.76544207</v>
      </c>
      <c r="G18" s="10">
        <v>55234656.047956601</v>
      </c>
      <c r="H18" s="10">
        <v>988879.76956409996</v>
      </c>
      <c r="I18" s="10">
        <v>7011844.9384329002</v>
      </c>
      <c r="J18" s="10">
        <v>4241842.5034867004</v>
      </c>
      <c r="K18" s="10">
        <v>1856697.3675649001</v>
      </c>
      <c r="L18" s="10">
        <v>79686975.601420596</v>
      </c>
      <c r="M18" s="10">
        <v>72290.571349899998</v>
      </c>
      <c r="N18" s="10">
        <v>427223276.59882897</v>
      </c>
      <c r="O18" s="10">
        <v>9215953.8843077999</v>
      </c>
      <c r="P18" s="10">
        <v>29405518.118673898</v>
      </c>
      <c r="Q18" s="10">
        <v>340074.53670220001</v>
      </c>
      <c r="R18" s="10">
        <v>55511019.958611503</v>
      </c>
      <c r="S18" s="10">
        <v>991087.07297400001</v>
      </c>
      <c r="T18" s="10">
        <v>6841294.9809491001</v>
      </c>
      <c r="U18" s="10">
        <v>448529.90861699998</v>
      </c>
      <c r="V18" s="10">
        <v>54758.961904000003</v>
      </c>
      <c r="W18" s="10">
        <v>43824662.398949802</v>
      </c>
      <c r="X18" s="10">
        <v>1021939.3634463</v>
      </c>
      <c r="Y18" s="10">
        <v>25053185.0424616</v>
      </c>
      <c r="Z18" s="10">
        <v>1813034.2170875</v>
      </c>
      <c r="AA18" s="10">
        <v>4826807.7162715001</v>
      </c>
      <c r="AB18" s="10">
        <v>510763.63910039997</v>
      </c>
      <c r="AC18" s="10">
        <v>48768932.9701261</v>
      </c>
      <c r="AD18" s="10">
        <v>9920467.4133499004</v>
      </c>
      <c r="AE18" s="10">
        <v>2920482.6352676</v>
      </c>
      <c r="AF18" s="10">
        <v>2252676.8420354002</v>
      </c>
      <c r="AG18" s="10">
        <v>16770094</v>
      </c>
      <c r="AH18" s="10">
        <v>1377465853.5546436</v>
      </c>
    </row>
    <row r="19" spans="2:34" x14ac:dyDescent="0.35">
      <c r="B19" t="s">
        <v>131</v>
      </c>
      <c r="C19" t="s">
        <v>185</v>
      </c>
      <c r="D19" s="10">
        <v>7629475.8798754001</v>
      </c>
      <c r="E19" s="10">
        <v>79160.719519599996</v>
      </c>
      <c r="F19" s="10">
        <v>607807068.10752106</v>
      </c>
      <c r="G19" s="10">
        <v>90292429.289415196</v>
      </c>
      <c r="H19" s="10">
        <v>1394051.4240459001</v>
      </c>
      <c r="I19" s="10">
        <v>8894905.0588117</v>
      </c>
      <c r="J19" s="10">
        <v>6966776.7479376998</v>
      </c>
      <c r="K19" s="10">
        <v>1855271.5071562999</v>
      </c>
      <c r="L19" s="10">
        <v>80371224.767400995</v>
      </c>
      <c r="M19" s="10">
        <v>94371.333351599998</v>
      </c>
      <c r="N19" s="10">
        <v>453467832.56981701</v>
      </c>
      <c r="O19" s="10">
        <v>9218118.9925008994</v>
      </c>
      <c r="P19" s="10">
        <v>30993794.0415604</v>
      </c>
      <c r="Q19" s="10">
        <v>324245.87806910003</v>
      </c>
      <c r="R19" s="10">
        <v>60003862.437861502</v>
      </c>
      <c r="S19" s="10">
        <v>1145909.0067960001</v>
      </c>
      <c r="T19" s="10">
        <v>7122500.5707074003</v>
      </c>
      <c r="U19" s="10">
        <v>112834.0947785</v>
      </c>
      <c r="V19" s="10">
        <v>54679.480482400002</v>
      </c>
      <c r="W19" s="10">
        <v>42693139.662281103</v>
      </c>
      <c r="X19" s="10">
        <v>989974.2637141</v>
      </c>
      <c r="Y19" s="10">
        <v>24863432.3603453</v>
      </c>
      <c r="Z19" s="10">
        <v>1636248.0779341001</v>
      </c>
      <c r="AA19" s="10">
        <v>4548329.4063464999</v>
      </c>
      <c r="AB19" s="10">
        <v>512249.86862259998</v>
      </c>
      <c r="AC19" s="10">
        <v>48365902.392622203</v>
      </c>
      <c r="AD19" s="10">
        <v>9701048.8507698998</v>
      </c>
      <c r="AE19" s="10">
        <v>4272875.2504673004</v>
      </c>
      <c r="AF19" s="10">
        <v>2163257.9864146002</v>
      </c>
      <c r="AG19" s="10">
        <v>19247503</v>
      </c>
      <c r="AH19" s="10">
        <v>1526822473.0271261</v>
      </c>
    </row>
    <row r="20" spans="2:34" x14ac:dyDescent="0.35">
      <c r="B20" t="s">
        <v>131</v>
      </c>
      <c r="C20" t="s">
        <v>186</v>
      </c>
      <c r="D20" s="10">
        <v>7631541.1316577997</v>
      </c>
      <c r="E20" s="10">
        <v>78931.425502600003</v>
      </c>
      <c r="F20" s="10">
        <v>704822513.88255501</v>
      </c>
      <c r="G20" s="10">
        <v>122601817.076518</v>
      </c>
      <c r="H20" s="10">
        <v>1774528.7355837999</v>
      </c>
      <c r="I20" s="10">
        <v>11042988.273543101</v>
      </c>
      <c r="J20" s="10">
        <v>9863421.9238863997</v>
      </c>
      <c r="K20" s="10">
        <v>1853846.9580077</v>
      </c>
      <c r="L20" s="10">
        <v>84799460.532387495</v>
      </c>
      <c r="M20" s="10">
        <v>102921.33035610001</v>
      </c>
      <c r="N20" s="10">
        <v>489295826.30810302</v>
      </c>
      <c r="O20" s="10">
        <v>9219462.6135042999</v>
      </c>
      <c r="P20" s="10">
        <v>35306955.6618388</v>
      </c>
      <c r="Q20" s="10">
        <v>357869.14859990001</v>
      </c>
      <c r="R20" s="10">
        <v>60241559.964771502</v>
      </c>
      <c r="S20" s="10">
        <v>1092839.0122193</v>
      </c>
      <c r="T20" s="10">
        <v>7785753.2056620996</v>
      </c>
      <c r="U20" s="10">
        <v>64118.064549900002</v>
      </c>
      <c r="V20" s="10">
        <v>54600.145477400001</v>
      </c>
      <c r="W20" s="10">
        <v>42552951.067470297</v>
      </c>
      <c r="X20" s="10">
        <v>989060.52494399995</v>
      </c>
      <c r="Y20" s="10">
        <v>25139827.6557872</v>
      </c>
      <c r="Z20" s="10">
        <v>1759008.3413916</v>
      </c>
      <c r="AA20" s="10">
        <v>4911087.2835905999</v>
      </c>
      <c r="AB20" s="10">
        <v>655759.20068230003</v>
      </c>
      <c r="AC20" s="10">
        <v>50844768.442194201</v>
      </c>
      <c r="AD20" s="10">
        <v>11075797.1870749</v>
      </c>
      <c r="AE20" s="10">
        <v>6537750.1538810004</v>
      </c>
      <c r="AF20" s="10">
        <v>2476876.5975066</v>
      </c>
      <c r="AG20" s="10">
        <v>18596576</v>
      </c>
      <c r="AH20" s="10">
        <v>1713530417.849247</v>
      </c>
    </row>
    <row r="21" spans="2:34" x14ac:dyDescent="0.35">
      <c r="B21" t="s">
        <v>131</v>
      </c>
      <c r="C21" t="s">
        <v>187</v>
      </c>
      <c r="D21" s="10">
        <v>7633610.7658924004</v>
      </c>
      <c r="E21" s="10">
        <v>78702.838686300005</v>
      </c>
      <c r="F21" s="10">
        <v>664063988.43080401</v>
      </c>
      <c r="G21" s="10">
        <v>127017672.74445701</v>
      </c>
      <c r="H21" s="10">
        <v>1805629.0064640001</v>
      </c>
      <c r="I21" s="10">
        <v>10810670.151370499</v>
      </c>
      <c r="J21" s="10">
        <v>10209991.2443958</v>
      </c>
      <c r="K21" s="10">
        <v>1852423.7192754999</v>
      </c>
      <c r="L21" s="10">
        <v>84523225.463384002</v>
      </c>
      <c r="M21" s="10">
        <v>115588.0137993</v>
      </c>
      <c r="N21" s="10">
        <v>475421350.31205302</v>
      </c>
      <c r="O21" s="10">
        <v>8585492.3802611995</v>
      </c>
      <c r="P21" s="10">
        <v>34815598.092604101</v>
      </c>
      <c r="Q21" s="10">
        <v>328381.86364970001</v>
      </c>
      <c r="R21" s="10">
        <v>58803840.133894801</v>
      </c>
      <c r="S21" s="10">
        <v>908107.40803449997</v>
      </c>
      <c r="T21" s="10">
        <v>7595161.2096503004</v>
      </c>
      <c r="U21" s="10">
        <v>88432.803393299997</v>
      </c>
      <c r="V21" s="10">
        <v>54520.956541200001</v>
      </c>
      <c r="W21" s="10">
        <v>44715284.419226199</v>
      </c>
      <c r="X21" s="10">
        <v>921710.62983810005</v>
      </c>
      <c r="Y21" s="10">
        <v>27119613.2471595</v>
      </c>
      <c r="Z21" s="10">
        <v>1795886.6025238</v>
      </c>
      <c r="AA21" s="10">
        <v>5199615.8240834</v>
      </c>
      <c r="AB21" s="10">
        <v>701697.14593939995</v>
      </c>
      <c r="AC21" s="10">
        <v>48270880.229316503</v>
      </c>
      <c r="AD21" s="10">
        <v>10943560.315351</v>
      </c>
      <c r="AE21" s="10">
        <v>4355854.5636767996</v>
      </c>
      <c r="AF21" s="10">
        <v>2316201.7663441999</v>
      </c>
      <c r="AG21" s="10">
        <v>16247185</v>
      </c>
      <c r="AH21" s="10">
        <v>1657299877.2820699</v>
      </c>
    </row>
    <row r="22" spans="2:34" x14ac:dyDescent="0.35">
      <c r="B22" t="s">
        <v>131</v>
      </c>
      <c r="C22" t="s">
        <v>188</v>
      </c>
      <c r="D22" s="10">
        <v>7635684.7861724999</v>
      </c>
      <c r="E22" s="10">
        <v>78474.957018000001</v>
      </c>
      <c r="F22" s="10">
        <v>614434417.51291394</v>
      </c>
      <c r="G22" s="10">
        <v>118394896.037229</v>
      </c>
      <c r="H22" s="10">
        <v>1572297.6209195999</v>
      </c>
      <c r="I22" s="10">
        <v>9961790.1266396008</v>
      </c>
      <c r="J22" s="10">
        <v>9201113.8958883993</v>
      </c>
      <c r="K22" s="10">
        <v>1851001.7901184999</v>
      </c>
      <c r="L22" s="10">
        <v>83814358.840112805</v>
      </c>
      <c r="M22" s="10">
        <v>124407.25124120001</v>
      </c>
      <c r="N22" s="10">
        <v>471031336.915443</v>
      </c>
      <c r="O22" s="10">
        <v>8616184.8035189006</v>
      </c>
      <c r="P22" s="10">
        <v>34276023.947589099</v>
      </c>
      <c r="Q22" s="10">
        <v>336878.46397580003</v>
      </c>
      <c r="R22" s="10">
        <v>57201133.385478698</v>
      </c>
      <c r="S22" s="10">
        <v>494306.69497040001</v>
      </c>
      <c r="T22" s="10">
        <v>7715852.1181044001</v>
      </c>
      <c r="U22" s="10">
        <v>62787.8894478</v>
      </c>
      <c r="V22" s="10">
        <v>54441.913326900001</v>
      </c>
      <c r="W22" s="10">
        <v>44975701.426992603</v>
      </c>
      <c r="X22" s="10">
        <v>920255.35953060002</v>
      </c>
      <c r="Y22" s="10">
        <v>26693291.159000799</v>
      </c>
      <c r="Z22" s="10">
        <v>1592938.9080389</v>
      </c>
      <c r="AA22" s="10">
        <v>5123938.3195885997</v>
      </c>
      <c r="AB22" s="10">
        <v>637543.42977130006</v>
      </c>
      <c r="AC22" s="10">
        <v>50754516.6225238</v>
      </c>
      <c r="AD22" s="10">
        <v>10548499.4108344</v>
      </c>
      <c r="AE22" s="10">
        <v>6684472.2979258001</v>
      </c>
      <c r="AF22" s="10">
        <v>2308782.9524662001</v>
      </c>
      <c r="AG22" s="10">
        <v>19762603</v>
      </c>
      <c r="AH22" s="10">
        <v>1596859931.836782</v>
      </c>
    </row>
    <row r="23" spans="2:34" x14ac:dyDescent="0.35">
      <c r="B23" t="s">
        <v>131</v>
      </c>
      <c r="C23" t="s">
        <v>189</v>
      </c>
      <c r="D23" s="10">
        <v>7637763.1961035002</v>
      </c>
      <c r="E23" s="10">
        <v>78247.778451299993</v>
      </c>
      <c r="F23" s="10">
        <v>531795819.04862398</v>
      </c>
      <c r="G23" s="10">
        <v>84287242.828404397</v>
      </c>
      <c r="H23" s="10">
        <v>1118968.1081627</v>
      </c>
      <c r="I23" s="10">
        <v>8024185.9971113</v>
      </c>
      <c r="J23" s="10">
        <v>6503211.6024366003</v>
      </c>
      <c r="K23" s="10">
        <v>1849581.169698</v>
      </c>
      <c r="L23" s="10">
        <v>78086905.7043823</v>
      </c>
      <c r="M23" s="10">
        <v>100595.7535546</v>
      </c>
      <c r="N23" s="10">
        <v>435427235.24773598</v>
      </c>
      <c r="O23" s="10">
        <v>8795469.4019582998</v>
      </c>
      <c r="P23" s="10">
        <v>30480825.252364401</v>
      </c>
      <c r="Q23" s="10">
        <v>363537.36954500002</v>
      </c>
      <c r="R23" s="10">
        <v>50940947.2504365</v>
      </c>
      <c r="S23" s="10">
        <v>432445.10307730001</v>
      </c>
      <c r="T23" s="10">
        <v>6924102.6557139996</v>
      </c>
      <c r="U23" s="10">
        <v>198492.29153389999</v>
      </c>
      <c r="V23" s="10">
        <v>54363.015488500001</v>
      </c>
      <c r="W23" s="10">
        <v>43757499.802014701</v>
      </c>
      <c r="X23" s="10">
        <v>965641.46411499998</v>
      </c>
      <c r="Y23" s="10">
        <v>25648085.470853001</v>
      </c>
      <c r="Z23" s="10">
        <v>1555000.8557185</v>
      </c>
      <c r="AA23" s="10">
        <v>4841925.7831434999</v>
      </c>
      <c r="AB23" s="10">
        <v>634734.11188690003</v>
      </c>
      <c r="AC23" s="10">
        <v>49190340.347943999</v>
      </c>
      <c r="AD23" s="10">
        <v>10038366.633801101</v>
      </c>
      <c r="AE23" s="10">
        <v>3298784.9313396001</v>
      </c>
      <c r="AF23" s="10">
        <v>2294772.1836950998</v>
      </c>
      <c r="AG23" s="10">
        <v>17843450</v>
      </c>
      <c r="AH23" s="10">
        <v>1413168540.3592939</v>
      </c>
    </row>
    <row r="24" spans="2:34" x14ac:dyDescent="0.35">
      <c r="B24" t="s">
        <v>131</v>
      </c>
      <c r="C24" t="s">
        <v>190</v>
      </c>
      <c r="D24" s="10">
        <v>7639845.9993038001</v>
      </c>
      <c r="E24" s="10">
        <v>78021.300946500007</v>
      </c>
      <c r="F24" s="10">
        <v>503300740.28787601</v>
      </c>
      <c r="G24" s="10">
        <v>59376813.991113603</v>
      </c>
      <c r="H24" s="10">
        <v>909486.37268100004</v>
      </c>
      <c r="I24" s="10">
        <v>6993834.1677885996</v>
      </c>
      <c r="J24" s="10">
        <v>4632039.0809562998</v>
      </c>
      <c r="K24" s="10">
        <v>1848161.8571776</v>
      </c>
      <c r="L24" s="10">
        <v>77464032.161850497</v>
      </c>
      <c r="M24" s="10">
        <v>88984.818161100004</v>
      </c>
      <c r="N24" s="10">
        <v>410864699.00413698</v>
      </c>
      <c r="O24" s="10">
        <v>8925101.7156969998</v>
      </c>
      <c r="P24" s="10">
        <v>30294448.949464802</v>
      </c>
      <c r="Q24" s="10">
        <v>371325.37139849999</v>
      </c>
      <c r="R24" s="10">
        <v>48913157.949130699</v>
      </c>
      <c r="S24" s="10">
        <v>892140.19878009998</v>
      </c>
      <c r="T24" s="10">
        <v>7222577.1955575002</v>
      </c>
      <c r="U24" s="10">
        <v>872376.47864480002</v>
      </c>
      <c r="V24" s="10">
        <v>54284.262681200002</v>
      </c>
      <c r="W24" s="10">
        <v>40904652.306600101</v>
      </c>
      <c r="X24" s="10">
        <v>994977.40525329998</v>
      </c>
      <c r="Y24" s="10">
        <v>23008079.918196801</v>
      </c>
      <c r="Z24" s="10">
        <v>1812901.8297991999</v>
      </c>
      <c r="AA24" s="10">
        <v>4567977.2448105002</v>
      </c>
      <c r="AB24" s="10">
        <v>648254.07753390004</v>
      </c>
      <c r="AC24" s="10">
        <v>47761892.0917193</v>
      </c>
      <c r="AD24" s="10">
        <v>9510714.0412226003</v>
      </c>
      <c r="AE24" s="10">
        <v>4238187.3384685004</v>
      </c>
      <c r="AF24" s="10">
        <v>2050507.9837145</v>
      </c>
      <c r="AG24" s="10">
        <v>18016920</v>
      </c>
      <c r="AH24" s="10">
        <v>1324257135.400666</v>
      </c>
    </row>
    <row r="25" spans="2:34" x14ac:dyDescent="0.35">
      <c r="B25" t="s">
        <v>131</v>
      </c>
      <c r="C25" t="s">
        <v>191</v>
      </c>
      <c r="D25" s="10">
        <v>7641933.1994040003</v>
      </c>
      <c r="E25" s="10">
        <v>77795.522470800002</v>
      </c>
      <c r="F25" s="10">
        <v>664198437.584203</v>
      </c>
      <c r="G25" s="10">
        <v>53214134.547877103</v>
      </c>
      <c r="H25" s="10">
        <v>923665.22969449998</v>
      </c>
      <c r="I25" s="10">
        <v>7970591.8582033003</v>
      </c>
      <c r="J25" s="10">
        <v>3877627.2544588</v>
      </c>
      <c r="K25" s="10">
        <v>1846743.8517233999</v>
      </c>
      <c r="L25" s="10">
        <v>87482052.257219493</v>
      </c>
      <c r="M25" s="10">
        <v>101181.0572938</v>
      </c>
      <c r="N25" s="10">
        <v>468163682.03110802</v>
      </c>
      <c r="O25" s="10">
        <v>9848793.4303107001</v>
      </c>
      <c r="P25" s="10">
        <v>29160618.408955202</v>
      </c>
      <c r="Q25" s="10">
        <v>425231.3076152</v>
      </c>
      <c r="R25" s="10">
        <v>55792303.466833003</v>
      </c>
      <c r="S25" s="10">
        <v>638314.9914383</v>
      </c>
      <c r="T25" s="10">
        <v>8355820.8019508002</v>
      </c>
      <c r="U25" s="10">
        <v>594132.09555159998</v>
      </c>
      <c r="V25" s="10">
        <v>54205.654561000003</v>
      </c>
      <c r="W25" s="10">
        <v>43220820.778758898</v>
      </c>
      <c r="X25" s="10">
        <v>1225001.7941433</v>
      </c>
      <c r="Y25" s="10">
        <v>24388901.5056368</v>
      </c>
      <c r="Z25" s="10">
        <v>2134654.1463071001</v>
      </c>
      <c r="AA25" s="10">
        <v>4547808.0682188002</v>
      </c>
      <c r="AB25" s="10">
        <v>706385.61959909997</v>
      </c>
      <c r="AC25" s="10">
        <v>51430117.793270402</v>
      </c>
      <c r="AD25" s="10">
        <v>9925140.4791222997</v>
      </c>
      <c r="AE25" s="10">
        <v>4445966.0360981999</v>
      </c>
      <c r="AF25" s="10">
        <v>2110622.5242841998</v>
      </c>
      <c r="AG25" s="10">
        <v>18040363</v>
      </c>
      <c r="AH25" s="10">
        <v>1562543046.2963109</v>
      </c>
    </row>
    <row r="26" spans="2:34" x14ac:dyDescent="0.35">
      <c r="B26" t="s">
        <v>131</v>
      </c>
      <c r="C26" t="s">
        <v>192</v>
      </c>
      <c r="D26" s="10">
        <v>7644024.8000474004</v>
      </c>
      <c r="E26" s="10">
        <v>77570.440997600002</v>
      </c>
      <c r="F26" s="10">
        <v>992409858.26347804</v>
      </c>
      <c r="G26" s="10">
        <v>63758761.126112498</v>
      </c>
      <c r="H26" s="10">
        <v>1162902.2520490999</v>
      </c>
      <c r="I26" s="10">
        <v>10850528.435879201</v>
      </c>
      <c r="J26" s="10">
        <v>4422109.7638066001</v>
      </c>
      <c r="K26" s="10">
        <v>1845327.1525038001</v>
      </c>
      <c r="L26" s="10">
        <v>97458128.497405693</v>
      </c>
      <c r="M26" s="10">
        <v>111405.0451735</v>
      </c>
      <c r="N26" s="10">
        <v>530680723.27236903</v>
      </c>
      <c r="O26" s="10">
        <v>10920350.505633101</v>
      </c>
      <c r="P26" s="10">
        <v>35177444.971039899</v>
      </c>
      <c r="Q26" s="10">
        <v>492780.99585860001</v>
      </c>
      <c r="R26" s="10">
        <v>60098619.132048801</v>
      </c>
      <c r="S26" s="10">
        <v>857253.31567819999</v>
      </c>
      <c r="T26" s="10">
        <v>9558737.8434149995</v>
      </c>
      <c r="U26" s="10">
        <v>421642.96887410001</v>
      </c>
      <c r="V26" s="10">
        <v>54127.1907851</v>
      </c>
      <c r="W26" s="10">
        <v>49247153.214904197</v>
      </c>
      <c r="X26" s="10">
        <v>1574172.1138283</v>
      </c>
      <c r="Y26" s="10">
        <v>28762474.113669399</v>
      </c>
      <c r="Z26" s="10">
        <v>2486682.0563181001</v>
      </c>
      <c r="AA26" s="10">
        <v>5484096.3505966999</v>
      </c>
      <c r="AB26" s="10">
        <v>899194.27345580002</v>
      </c>
      <c r="AC26" s="10">
        <v>55376323.849158898</v>
      </c>
      <c r="AD26" s="10">
        <v>10670170.621738501</v>
      </c>
      <c r="AE26" s="10">
        <v>4748108.6774875997</v>
      </c>
      <c r="AF26" s="10">
        <v>2410374.9380573998</v>
      </c>
      <c r="AG26" s="10">
        <v>19585559</v>
      </c>
      <c r="AH26" s="10">
        <v>2009246605.1823704</v>
      </c>
    </row>
    <row r="27" spans="2:34" x14ac:dyDescent="0.35">
      <c r="B27" t="s">
        <v>131</v>
      </c>
      <c r="C27" t="s">
        <v>193</v>
      </c>
      <c r="D27" s="10">
        <v>7646120.8048898997</v>
      </c>
      <c r="E27" s="10">
        <v>77346.054507099994</v>
      </c>
      <c r="F27" s="10">
        <v>1073906801.9051299</v>
      </c>
      <c r="G27" s="10">
        <v>68943607.396218106</v>
      </c>
      <c r="H27" s="10">
        <v>1150866.4100917</v>
      </c>
      <c r="I27" s="10">
        <v>11497721.174642101</v>
      </c>
      <c r="J27" s="10">
        <v>4684826.4306921996</v>
      </c>
      <c r="K27" s="10">
        <v>1843911.7586896999</v>
      </c>
      <c r="L27" s="10">
        <v>103129769.021533</v>
      </c>
      <c r="M27" s="10">
        <v>132416.98152850001</v>
      </c>
      <c r="N27" s="10">
        <v>569010366.12514114</v>
      </c>
      <c r="O27" s="10">
        <v>10940181.404403601</v>
      </c>
      <c r="P27" s="10">
        <v>37054137.546930797</v>
      </c>
      <c r="Q27" s="10">
        <v>494127.94189770002</v>
      </c>
      <c r="R27" s="10">
        <v>63098923.807590999</v>
      </c>
      <c r="S27" s="10">
        <v>778632.4397776</v>
      </c>
      <c r="T27" s="10">
        <v>10017858.720639801</v>
      </c>
      <c r="U27" s="10">
        <v>424756.65186769998</v>
      </c>
      <c r="V27" s="10">
        <v>54048.871011399999</v>
      </c>
      <c r="W27" s="10">
        <v>48252334.378724799</v>
      </c>
      <c r="X27" s="10">
        <v>1422813.4849268999</v>
      </c>
      <c r="Y27" s="10">
        <v>29027094.436892301</v>
      </c>
      <c r="Z27" s="10">
        <v>2466894.4781597001</v>
      </c>
      <c r="AA27" s="10">
        <v>5405513.2743459996</v>
      </c>
      <c r="AB27" s="10">
        <v>856246.51622500003</v>
      </c>
      <c r="AC27" s="10">
        <v>56542986.093575098</v>
      </c>
      <c r="AD27" s="10">
        <v>9916010.8404971007</v>
      </c>
      <c r="AE27" s="10">
        <v>5437404.7116595004</v>
      </c>
      <c r="AF27" s="10">
        <v>2185948.2139822999</v>
      </c>
      <c r="AG27" s="10">
        <v>19108802</v>
      </c>
      <c r="AH27" s="10">
        <v>2145508469.8761714</v>
      </c>
    </row>
    <row r="28" spans="2:34" x14ac:dyDescent="0.35">
      <c r="B28" t="s">
        <v>131</v>
      </c>
      <c r="C28" t="s">
        <v>194</v>
      </c>
      <c r="D28" s="10">
        <v>7648221.2176000997</v>
      </c>
      <c r="E28" s="10">
        <v>77122.360986</v>
      </c>
      <c r="F28" s="10">
        <v>957530115.39542079</v>
      </c>
      <c r="G28" s="10">
        <v>63773501.493614197</v>
      </c>
      <c r="H28" s="10">
        <v>1073513.1202966</v>
      </c>
      <c r="I28" s="10">
        <v>10363346.950430701</v>
      </c>
      <c r="J28" s="10">
        <v>4288738.2618132001</v>
      </c>
      <c r="K28" s="10">
        <v>1842497.6694543001</v>
      </c>
      <c r="L28" s="10">
        <v>96714080.541574806</v>
      </c>
      <c r="M28" s="10">
        <v>111051.30839590001</v>
      </c>
      <c r="N28" s="10">
        <v>524387032.14519387</v>
      </c>
      <c r="O28" s="10">
        <v>10633453.9309905</v>
      </c>
      <c r="P28" s="10">
        <v>35302522.894818999</v>
      </c>
      <c r="Q28" s="10">
        <v>455513.42106690002</v>
      </c>
      <c r="R28" s="10">
        <v>61127599.011508003</v>
      </c>
      <c r="S28" s="10">
        <v>971257.51404090005</v>
      </c>
      <c r="T28" s="10">
        <v>7933599.5211038003</v>
      </c>
      <c r="U28" s="10">
        <v>444319.14185160003</v>
      </c>
      <c r="V28" s="10">
        <v>53970.694899100003</v>
      </c>
      <c r="W28" s="10">
        <v>48314573.544144697</v>
      </c>
      <c r="X28" s="10">
        <v>1328975.0578027</v>
      </c>
      <c r="Y28" s="10">
        <v>28507287.9139135</v>
      </c>
      <c r="Z28" s="10">
        <v>2365030.6165100001</v>
      </c>
      <c r="AA28" s="10">
        <v>5568443.7891929997</v>
      </c>
      <c r="AB28" s="10">
        <v>745529.96113509999</v>
      </c>
      <c r="AC28" s="10">
        <v>53267699.5449697</v>
      </c>
      <c r="AD28" s="10">
        <v>10456985.6426509</v>
      </c>
      <c r="AE28" s="10">
        <v>5567379.2302377997</v>
      </c>
      <c r="AF28" s="10">
        <v>2382103.9045437002</v>
      </c>
      <c r="AG28" s="10">
        <v>17384180</v>
      </c>
      <c r="AH28" s="10">
        <v>1960619645.8001611</v>
      </c>
    </row>
    <row r="29" spans="2:34" x14ac:dyDescent="0.35">
      <c r="B29" t="s">
        <v>131</v>
      </c>
      <c r="C29" t="s">
        <v>195</v>
      </c>
      <c r="D29" s="10">
        <v>7650326.0418589003</v>
      </c>
      <c r="E29" s="10">
        <v>76899.358427700005</v>
      </c>
      <c r="F29" s="10">
        <v>636809840.36978388</v>
      </c>
      <c r="G29" s="10">
        <v>48146486.421970099</v>
      </c>
      <c r="H29" s="10">
        <v>849650.68591220002</v>
      </c>
      <c r="I29" s="10">
        <v>7396177.4959634999</v>
      </c>
      <c r="J29" s="10">
        <v>3388558.2233199002</v>
      </c>
      <c r="K29" s="10">
        <v>1841084.8839734001</v>
      </c>
      <c r="L29" s="10">
        <v>87140964.862679303</v>
      </c>
      <c r="M29" s="10">
        <v>94510.6366041</v>
      </c>
      <c r="N29" s="10">
        <v>461877693.63285398</v>
      </c>
      <c r="O29" s="10">
        <v>9781929.0714701992</v>
      </c>
      <c r="P29" s="10">
        <v>30802025.704956502</v>
      </c>
      <c r="Q29" s="10">
        <v>407709.91875800001</v>
      </c>
      <c r="R29" s="10">
        <v>55860298.000432499</v>
      </c>
      <c r="S29" s="10">
        <v>956905.55642230005</v>
      </c>
      <c r="T29" s="10">
        <v>7244906.5559876999</v>
      </c>
      <c r="U29" s="10">
        <v>2044431.9758625</v>
      </c>
      <c r="V29" s="10">
        <v>53892.662108199998</v>
      </c>
      <c r="W29" s="10">
        <v>44161189.656527698</v>
      </c>
      <c r="X29" s="10">
        <v>1147791.412818</v>
      </c>
      <c r="Y29" s="10">
        <v>24936346.258315299</v>
      </c>
      <c r="Z29" s="10">
        <v>2136735.6548532001</v>
      </c>
      <c r="AA29" s="10">
        <v>4796992.8450891003</v>
      </c>
      <c r="AB29" s="10">
        <v>657545.65249270003</v>
      </c>
      <c r="AC29" s="10">
        <v>51302672.923367597</v>
      </c>
      <c r="AD29" s="10">
        <v>9753825.7047514003</v>
      </c>
      <c r="AE29" s="10">
        <v>6025855.6179152997</v>
      </c>
      <c r="AF29" s="10">
        <v>2126009.6117614</v>
      </c>
      <c r="AG29" s="10">
        <v>20393454</v>
      </c>
      <c r="AH29" s="10">
        <v>1529862711.3972363</v>
      </c>
    </row>
    <row r="30" spans="2:34" x14ac:dyDescent="0.35">
      <c r="B30" t="s">
        <v>131</v>
      </c>
      <c r="C30" t="s">
        <v>196</v>
      </c>
      <c r="D30" s="10">
        <v>7652435.2813604996</v>
      </c>
      <c r="E30" s="10">
        <v>76677.044831799998</v>
      </c>
      <c r="F30" s="10">
        <v>525692267.370803</v>
      </c>
      <c r="G30" s="10">
        <v>54482335.503438398</v>
      </c>
      <c r="H30" s="10">
        <v>975410.78795130004</v>
      </c>
      <c r="I30" s="10">
        <v>6916340.4964829003</v>
      </c>
      <c r="J30" s="10">
        <v>4184066.7248304002</v>
      </c>
      <c r="K30" s="10">
        <v>1839673.401425</v>
      </c>
      <c r="L30" s="10">
        <v>77632935.6080143</v>
      </c>
      <c r="M30" s="10">
        <v>70427.183718700006</v>
      </c>
      <c r="N30" s="10">
        <v>416211016.569821</v>
      </c>
      <c r="O30" s="10">
        <v>8978400.1597137004</v>
      </c>
      <c r="P30" s="10">
        <v>28647550.9629784</v>
      </c>
      <c r="Q30" s="10">
        <v>331308.6537727</v>
      </c>
      <c r="R30" s="10">
        <v>54080148.047496699</v>
      </c>
      <c r="S30" s="10">
        <v>965540.45799120003</v>
      </c>
      <c r="T30" s="10">
        <v>6664951.3138504</v>
      </c>
      <c r="U30" s="10">
        <v>436968.44121800002</v>
      </c>
      <c r="V30" s="10">
        <v>53814.772299600001</v>
      </c>
      <c r="W30" s="10">
        <v>43166926.930198997</v>
      </c>
      <c r="X30" s="10">
        <v>1006601.7492022</v>
      </c>
      <c r="Y30" s="10">
        <v>24677178.303206101</v>
      </c>
      <c r="Z30" s="10">
        <v>1785823.5816744</v>
      </c>
      <c r="AA30" s="10">
        <v>4754365.3410871001</v>
      </c>
      <c r="AB30" s="10">
        <v>503097.9243363</v>
      </c>
      <c r="AC30" s="10">
        <v>48036992.203633197</v>
      </c>
      <c r="AD30" s="10">
        <v>9771577.6575099006</v>
      </c>
      <c r="AE30" s="10">
        <v>2876651.0365756</v>
      </c>
      <c r="AF30" s="10">
        <v>2218867.9002767</v>
      </c>
      <c r="AG30" s="10">
        <v>16770094</v>
      </c>
      <c r="AH30" s="10">
        <v>1351460445.409698</v>
      </c>
    </row>
    <row r="31" spans="2:34" x14ac:dyDescent="0.35">
      <c r="B31" t="s">
        <v>131</v>
      </c>
      <c r="C31" t="s">
        <v>197</v>
      </c>
      <c r="D31" s="10">
        <v>7654548.9398111999</v>
      </c>
      <c r="E31" s="10">
        <v>76455.418204600006</v>
      </c>
      <c r="F31" s="10">
        <v>603035100.507429</v>
      </c>
      <c r="G31" s="10">
        <v>89583532.388225302</v>
      </c>
      <c r="H31" s="10">
        <v>1383106.5558837999</v>
      </c>
      <c r="I31" s="10">
        <v>8825070.0717347991</v>
      </c>
      <c r="J31" s="10">
        <v>6912079.7319556996</v>
      </c>
      <c r="K31" s="10">
        <v>1838263.2209896999</v>
      </c>
      <c r="L31" s="10">
        <v>78541142.406847194</v>
      </c>
      <c r="M31" s="10">
        <v>92222.463367300006</v>
      </c>
      <c r="N31" s="10">
        <v>443142203.1686691</v>
      </c>
      <c r="O31" s="10">
        <v>9008219.0312338006</v>
      </c>
      <c r="P31" s="10">
        <v>30288053.9470645</v>
      </c>
      <c r="Q31" s="10">
        <v>316862.68011920003</v>
      </c>
      <c r="R31" s="10">
        <v>58637552.411724404</v>
      </c>
      <c r="S31" s="10">
        <v>1119816.2370738999</v>
      </c>
      <c r="T31" s="10">
        <v>6960318.6119876998</v>
      </c>
      <c r="U31" s="10">
        <v>110264.82092309999</v>
      </c>
      <c r="V31" s="10">
        <v>53737.025135299999</v>
      </c>
      <c r="W31" s="10">
        <v>42034330.444298498</v>
      </c>
      <c r="X31" s="10">
        <v>974697.70697309996</v>
      </c>
      <c r="Y31" s="10">
        <v>24479758.1082463</v>
      </c>
      <c r="Z31" s="10">
        <v>1610998.6977015999</v>
      </c>
      <c r="AA31" s="10">
        <v>4478142.9229202</v>
      </c>
      <c r="AB31" s="10">
        <v>504345.20435969997</v>
      </c>
      <c r="AC31" s="10">
        <v>47619555.260872997</v>
      </c>
      <c r="AD31" s="10">
        <v>9551349.3801396005</v>
      </c>
      <c r="AE31" s="10">
        <v>4206939.3735426003</v>
      </c>
      <c r="AF31" s="10">
        <v>2129876.1758099999</v>
      </c>
      <c r="AG31" s="10">
        <v>19247503</v>
      </c>
      <c r="AH31" s="10">
        <v>1504416045.9132442</v>
      </c>
    </row>
    <row r="32" spans="2:34" x14ac:dyDescent="0.35">
      <c r="B32" t="s">
        <v>131</v>
      </c>
      <c r="C32" t="s">
        <v>198</v>
      </c>
      <c r="D32" s="10">
        <v>7656667.0209304998</v>
      </c>
      <c r="E32" s="10">
        <v>76234.476559000002</v>
      </c>
      <c r="F32" s="10">
        <v>699370164.87145495</v>
      </c>
      <c r="G32" s="10">
        <v>121653396.8956501</v>
      </c>
      <c r="H32" s="10">
        <v>1760801.3789712</v>
      </c>
      <c r="I32" s="10">
        <v>10957562.1910799</v>
      </c>
      <c r="J32" s="10">
        <v>9787120.7023540009</v>
      </c>
      <c r="K32" s="10">
        <v>1836854.3418505001</v>
      </c>
      <c r="L32" s="10">
        <v>82851595.784987107</v>
      </c>
      <c r="M32" s="10">
        <v>100557.2017414</v>
      </c>
      <c r="N32" s="10">
        <v>478056579.20520902</v>
      </c>
      <c r="O32" s="10">
        <v>9007689.2590268999</v>
      </c>
      <c r="P32" s="10">
        <v>34495946.088901103</v>
      </c>
      <c r="Q32" s="10">
        <v>349648.8050463</v>
      </c>
      <c r="R32" s="10">
        <v>58857796.315249696</v>
      </c>
      <c r="S32" s="10">
        <v>1067736.2276836</v>
      </c>
      <c r="T32" s="10">
        <v>7606912.5136807002</v>
      </c>
      <c r="U32" s="10">
        <v>62645.256623699999</v>
      </c>
      <c r="V32" s="10">
        <v>53659.4202783</v>
      </c>
      <c r="W32" s="10">
        <v>41886074.435650602</v>
      </c>
      <c r="X32" s="10">
        <v>973560.27560769999</v>
      </c>
      <c r="Y32" s="10">
        <v>24745844.085410599</v>
      </c>
      <c r="Z32" s="10">
        <v>1731441.7090282999</v>
      </c>
      <c r="AA32" s="10">
        <v>4834122.2491078004</v>
      </c>
      <c r="AB32" s="10">
        <v>645482.34617359994</v>
      </c>
      <c r="AC32" s="10">
        <v>50047945.023987003</v>
      </c>
      <c r="AD32" s="10">
        <v>10902220.7337962</v>
      </c>
      <c r="AE32" s="10">
        <v>6435292.5641502999</v>
      </c>
      <c r="AF32" s="10">
        <v>2438059.7568095</v>
      </c>
      <c r="AG32" s="10">
        <v>18596576</v>
      </c>
      <c r="AH32" s="10">
        <v>1688846187.1369994</v>
      </c>
    </row>
    <row r="33" spans="2:34" x14ac:dyDescent="0.35">
      <c r="B33" t="s">
        <v>131</v>
      </c>
      <c r="C33" t="s">
        <v>199</v>
      </c>
      <c r="D33" s="10">
        <v>7658789.5284503</v>
      </c>
      <c r="E33" s="10">
        <v>76014.217913999993</v>
      </c>
      <c r="F33" s="10">
        <v>654520444.00036514</v>
      </c>
      <c r="G33" s="10">
        <v>125192248.04984</v>
      </c>
      <c r="H33" s="10">
        <v>1779679.5483571</v>
      </c>
      <c r="I33" s="10">
        <v>10655305.4384665</v>
      </c>
      <c r="J33" s="10">
        <v>10063259.1421092</v>
      </c>
      <c r="K33" s="10">
        <v>1835446.7631928001</v>
      </c>
      <c r="L33" s="10">
        <v>82201435.549848095</v>
      </c>
      <c r="M33" s="10">
        <v>112412.89733760001</v>
      </c>
      <c r="N33" s="10">
        <v>462361880.68364608</v>
      </c>
      <c r="O33" s="10">
        <v>8349655.3129706001</v>
      </c>
      <c r="P33" s="10">
        <v>33859239.600107297</v>
      </c>
      <c r="Q33" s="10">
        <v>319361.45896640001</v>
      </c>
      <c r="R33" s="10">
        <v>57188542.537860699</v>
      </c>
      <c r="S33" s="10">
        <v>883162.3753666</v>
      </c>
      <c r="T33" s="10">
        <v>7386527.8004120002</v>
      </c>
      <c r="U33" s="10">
        <v>86003.620292199994</v>
      </c>
      <c r="V33" s="10">
        <v>53581.957392600001</v>
      </c>
      <c r="W33" s="10">
        <v>44024506.4886453</v>
      </c>
      <c r="X33" s="10">
        <v>907471.70975200005</v>
      </c>
      <c r="Y33" s="10">
        <v>26700659.626258999</v>
      </c>
      <c r="Z33" s="10">
        <v>1768143.0949746</v>
      </c>
      <c r="AA33" s="10">
        <v>5119290.2730906</v>
      </c>
      <c r="AB33" s="10">
        <v>690857.07394469995</v>
      </c>
      <c r="AC33" s="10">
        <v>47525174.165154897</v>
      </c>
      <c r="AD33" s="10">
        <v>10774500.2267032</v>
      </c>
      <c r="AE33" s="10">
        <v>4288563.7426412003</v>
      </c>
      <c r="AF33" s="10">
        <v>2280420.2414418999</v>
      </c>
      <c r="AG33" s="10">
        <v>16247185</v>
      </c>
      <c r="AH33" s="10">
        <v>1624909762.1255028</v>
      </c>
    </row>
    <row r="34" spans="2:34" x14ac:dyDescent="0.35">
      <c r="B34" t="s">
        <v>131</v>
      </c>
      <c r="C34" t="s">
        <v>200</v>
      </c>
      <c r="D34" s="10">
        <v>7660916.4661157001</v>
      </c>
      <c r="E34" s="10">
        <v>75794.640295499994</v>
      </c>
      <c r="F34" s="10">
        <v>601428067.08813202</v>
      </c>
      <c r="G34" s="10">
        <v>115888712.36249501</v>
      </c>
      <c r="H34" s="10">
        <v>1539015.2180351999</v>
      </c>
      <c r="I34" s="10">
        <v>9750918.9098713994</v>
      </c>
      <c r="J34" s="10">
        <v>9006344.6768842004</v>
      </c>
      <c r="K34" s="10">
        <v>1834040.4842044001</v>
      </c>
      <c r="L34" s="10">
        <v>81277860.358805999</v>
      </c>
      <c r="M34" s="10">
        <v>120642.27817210001</v>
      </c>
      <c r="N34" s="10">
        <v>456776377.65466601</v>
      </c>
      <c r="O34" s="10">
        <v>8355430.6801057998</v>
      </c>
      <c r="P34" s="10">
        <v>33238718.599299699</v>
      </c>
      <c r="Q34" s="10">
        <v>326683.41238699999</v>
      </c>
      <c r="R34" s="10">
        <v>55470038.738103703</v>
      </c>
      <c r="S34" s="10">
        <v>479347.34673400002</v>
      </c>
      <c r="T34" s="10">
        <v>7482345.0263553998</v>
      </c>
      <c r="U34" s="10">
        <v>60887.721166000003</v>
      </c>
      <c r="V34" s="10">
        <v>53504.636142900003</v>
      </c>
      <c r="W34" s="10">
        <v>44219145.6368737</v>
      </c>
      <c r="X34" s="10">
        <v>904775.34479929996</v>
      </c>
      <c r="Y34" s="10">
        <v>26244271.725330502</v>
      </c>
      <c r="Z34" s="10">
        <v>1566143.3914389999</v>
      </c>
      <c r="AA34" s="10">
        <v>5037746.3296718001</v>
      </c>
      <c r="AB34" s="10">
        <v>626819.03508840001</v>
      </c>
      <c r="AC34" s="10">
        <v>49900752.874385498</v>
      </c>
      <c r="AD34" s="10">
        <v>10371058.5249088</v>
      </c>
      <c r="AE34" s="10">
        <v>6572029.8887930997</v>
      </c>
      <c r="AF34" s="10">
        <v>2269945.9125669999</v>
      </c>
      <c r="AG34" s="10">
        <v>19762603</v>
      </c>
      <c r="AH34" s="10">
        <v>1558300937.9618289</v>
      </c>
    </row>
    <row r="35" spans="2:34" x14ac:dyDescent="0.35">
      <c r="B35" t="s">
        <v>131</v>
      </c>
      <c r="C35" t="s">
        <v>201</v>
      </c>
      <c r="D35" s="10">
        <v>7663047.8376842998</v>
      </c>
      <c r="E35" s="10">
        <v>75575.741735400006</v>
      </c>
      <c r="F35" s="10">
        <v>526946030.39764702</v>
      </c>
      <c r="G35" s="10">
        <v>83518573.164128795</v>
      </c>
      <c r="H35" s="10">
        <v>1108763.5171572999</v>
      </c>
      <c r="I35" s="10">
        <v>7951008.2759105004</v>
      </c>
      <c r="J35" s="10">
        <v>6443904.6265358999</v>
      </c>
      <c r="K35" s="10">
        <v>1832635.5040756001</v>
      </c>
      <c r="L35" s="10">
        <v>75997790.9978901</v>
      </c>
      <c r="M35" s="10">
        <v>97904.443580599996</v>
      </c>
      <c r="N35" s="10">
        <v>423777939.72811413</v>
      </c>
      <c r="O35" s="10">
        <v>8560157.9331225995</v>
      </c>
      <c r="P35" s="10">
        <v>29665349.985079601</v>
      </c>
      <c r="Q35" s="10">
        <v>353811.39489890001</v>
      </c>
      <c r="R35" s="10">
        <v>49578087.740208097</v>
      </c>
      <c r="S35" s="10">
        <v>420875.59066749999</v>
      </c>
      <c r="T35" s="10">
        <v>6738857.1967369001</v>
      </c>
      <c r="U35" s="10">
        <v>193181.8856262</v>
      </c>
      <c r="V35" s="10">
        <v>53427.4561951</v>
      </c>
      <c r="W35" s="10">
        <v>42967035.742880002</v>
      </c>
      <c r="X35" s="10">
        <v>948197.48594329995</v>
      </c>
      <c r="Y35" s="10">
        <v>25184761.701395001</v>
      </c>
      <c r="Z35" s="10">
        <v>1526910.3045230999</v>
      </c>
      <c r="AA35" s="10">
        <v>4754458.0730164004</v>
      </c>
      <c r="AB35" s="10">
        <v>623267.860277</v>
      </c>
      <c r="AC35" s="10">
        <v>48301733.908417404</v>
      </c>
      <c r="AD35" s="10">
        <v>9857027.0217953995</v>
      </c>
      <c r="AE35" s="10">
        <v>3239193.5255501</v>
      </c>
      <c r="AF35" s="10">
        <v>2253317.9200073001</v>
      </c>
      <c r="AG35" s="10">
        <v>17843450</v>
      </c>
      <c r="AH35" s="10">
        <v>1388476276.9607999</v>
      </c>
    </row>
    <row r="36" spans="2:34" x14ac:dyDescent="0.35">
      <c r="B36" t="s">
        <v>131</v>
      </c>
      <c r="C36" t="s">
        <v>202</v>
      </c>
      <c r="D36" s="10">
        <v>7665183.6469265996</v>
      </c>
      <c r="E36" s="10">
        <v>75357.520272299997</v>
      </c>
      <c r="F36" s="10">
        <v>496030019.44414699</v>
      </c>
      <c r="G36" s="10">
        <v>58519052.011919104</v>
      </c>
      <c r="H36" s="10">
        <v>896347.86324199999</v>
      </c>
      <c r="I36" s="10">
        <v>6892800.7064982001</v>
      </c>
      <c r="J36" s="10">
        <v>4565124.2914496996</v>
      </c>
      <c r="K36" s="10">
        <v>1831231.8219991999</v>
      </c>
      <c r="L36" s="10">
        <v>75055090.786744207</v>
      </c>
      <c r="M36" s="10">
        <v>86217.608602799999</v>
      </c>
      <c r="N36" s="10">
        <v>398087814.74727792</v>
      </c>
      <c r="O36" s="10">
        <v>8647552.9462880995</v>
      </c>
      <c r="P36" s="10">
        <v>29352365.9017101</v>
      </c>
      <c r="Q36" s="10">
        <v>359778.06323720003</v>
      </c>
      <c r="R36" s="10">
        <v>47392078.724587202</v>
      </c>
      <c r="S36" s="10">
        <v>864396.8270854</v>
      </c>
      <c r="T36" s="10">
        <v>6997972.7623036001</v>
      </c>
      <c r="U36" s="10">
        <v>845247.71016440005</v>
      </c>
      <c r="V36" s="10">
        <v>53350.417216000002</v>
      </c>
      <c r="W36" s="10">
        <v>40131610.549934</v>
      </c>
      <c r="X36" s="10">
        <v>976173.69863730005</v>
      </c>
      <c r="Y36" s="10">
        <v>22573258.803371999</v>
      </c>
      <c r="Z36" s="10">
        <v>1778640.4747663001</v>
      </c>
      <c r="AA36" s="10">
        <v>4481648.7478154004</v>
      </c>
      <c r="AB36" s="10">
        <v>636002.9656773</v>
      </c>
      <c r="AC36" s="10">
        <v>46859257.919754297</v>
      </c>
      <c r="AD36" s="10">
        <v>9330974.6063420009</v>
      </c>
      <c r="AE36" s="10">
        <v>4158091.4178223</v>
      </c>
      <c r="AF36" s="10">
        <v>2011756.1986630999</v>
      </c>
      <c r="AG36" s="10">
        <v>18016920</v>
      </c>
      <c r="AH36" s="10">
        <v>1295171319.1844547</v>
      </c>
    </row>
    <row r="37" spans="2:34" x14ac:dyDescent="0.35">
      <c r="B37" t="s">
        <v>131</v>
      </c>
      <c r="C37" t="s">
        <v>203</v>
      </c>
      <c r="D37" s="10">
        <v>7667323.8976261998</v>
      </c>
      <c r="E37" s="10">
        <v>75139.973951099993</v>
      </c>
      <c r="F37" s="10">
        <v>658520906.43957198</v>
      </c>
      <c r="G37" s="10">
        <v>52759263.098120198</v>
      </c>
      <c r="H37" s="10">
        <v>915769.79090390005</v>
      </c>
      <c r="I37" s="10">
        <v>7902459.6842091996</v>
      </c>
      <c r="J37" s="10">
        <v>3844481.5132785998</v>
      </c>
      <c r="K37" s="10">
        <v>1829829.4371704001</v>
      </c>
      <c r="L37" s="10">
        <v>85039240.7276669</v>
      </c>
      <c r="M37" s="10">
        <v>98355.720588099997</v>
      </c>
      <c r="N37" s="10">
        <v>455090878.97407901</v>
      </c>
      <c r="O37" s="10">
        <v>9573779.9215626009</v>
      </c>
      <c r="P37" s="10">
        <v>28346349.733034901</v>
      </c>
      <c r="Q37" s="10">
        <v>413357.32987730001</v>
      </c>
      <c r="R37" s="10">
        <v>54234382.971685603</v>
      </c>
      <c r="S37" s="10">
        <v>620490.95576080005</v>
      </c>
      <c r="T37" s="10">
        <v>8122496.4243532</v>
      </c>
      <c r="U37" s="10">
        <v>577541.80422169995</v>
      </c>
      <c r="V37" s="10">
        <v>53273.518873399997</v>
      </c>
      <c r="W37" s="10">
        <v>42420692.687868401</v>
      </c>
      <c r="X37" s="10">
        <v>1202323.8734277</v>
      </c>
      <c r="Y37" s="10">
        <v>23937400.473286901</v>
      </c>
      <c r="Z37" s="10">
        <v>2095136.2307279001</v>
      </c>
      <c r="AA37" s="10">
        <v>4463616.4929133002</v>
      </c>
      <c r="AB37" s="10">
        <v>693308.61256739998</v>
      </c>
      <c r="AC37" s="10">
        <v>50478014.588779099</v>
      </c>
      <c r="AD37" s="10">
        <v>9741400.7083292007</v>
      </c>
      <c r="AE37" s="10">
        <v>4363659.8176477002</v>
      </c>
      <c r="AF37" s="10">
        <v>2071549.4955791</v>
      </c>
      <c r="AG37" s="10">
        <v>18040363</v>
      </c>
      <c r="AH37" s="10">
        <v>1535192787.8976614</v>
      </c>
    </row>
    <row r="38" spans="2:34" x14ac:dyDescent="0.35">
      <c r="B38" t="s">
        <v>131</v>
      </c>
      <c r="C38" t="s">
        <v>204</v>
      </c>
      <c r="D38" s="10">
        <v>7669468.5935794003</v>
      </c>
      <c r="E38" s="10">
        <v>74923.100823100001</v>
      </c>
      <c r="F38" s="10">
        <v>993992653.63733077</v>
      </c>
      <c r="G38" s="10">
        <v>63860450.031470202</v>
      </c>
      <c r="H38" s="10">
        <v>1164756.9658949</v>
      </c>
      <c r="I38" s="10">
        <v>10867833.953422301</v>
      </c>
      <c r="J38" s="10">
        <v>4429162.5906387996</v>
      </c>
      <c r="K38" s="10">
        <v>1828428.3487867999</v>
      </c>
      <c r="L38" s="10">
        <v>95298966.079502001</v>
      </c>
      <c r="M38" s="10">
        <v>108936.89202489999</v>
      </c>
      <c r="N38" s="10">
        <v>518923613.92436701</v>
      </c>
      <c r="O38" s="10">
        <v>10678412.6522633</v>
      </c>
      <c r="P38" s="10">
        <v>34398096.7698135</v>
      </c>
      <c r="Q38" s="10">
        <v>481863.54625309998</v>
      </c>
      <c r="R38" s="10">
        <v>58767148.050072499</v>
      </c>
      <c r="S38" s="10">
        <v>838261.06566910003</v>
      </c>
      <c r="T38" s="10">
        <v>9346966.2053557001</v>
      </c>
      <c r="U38" s="10">
        <v>412301.56589209998</v>
      </c>
      <c r="V38" s="10">
        <v>53196.760835900001</v>
      </c>
      <c r="W38" s="10">
        <v>48278108.986767799</v>
      </c>
      <c r="X38" s="10">
        <v>1543196.8736080001</v>
      </c>
      <c r="Y38" s="10">
        <v>28196510.241501201</v>
      </c>
      <c r="Z38" s="10">
        <v>2437751.2098309998</v>
      </c>
      <c r="AA38" s="10">
        <v>5376184.8964686003</v>
      </c>
      <c r="AB38" s="10">
        <v>881500.68177020003</v>
      </c>
      <c r="AC38" s="10">
        <v>54286674.935499497</v>
      </c>
      <c r="AD38" s="10">
        <v>10460211.942317899</v>
      </c>
      <c r="AE38" s="10">
        <v>4654679.3722767001</v>
      </c>
      <c r="AF38" s="10">
        <v>2362945.5991233001</v>
      </c>
      <c r="AG38" s="10">
        <v>19585559</v>
      </c>
      <c r="AH38" s="10">
        <v>1991258764.4731596</v>
      </c>
    </row>
    <row r="39" spans="2:34" x14ac:dyDescent="0.35">
      <c r="B39" t="s">
        <v>131</v>
      </c>
      <c r="C39" t="s">
        <v>205</v>
      </c>
      <c r="D39" s="10">
        <v>7671617.7385954997</v>
      </c>
      <c r="E39" s="10">
        <v>74706.8989458</v>
      </c>
      <c r="F39" s="10">
        <v>1068050967.69687</v>
      </c>
      <c r="G39" s="10">
        <v>68567669.434082896</v>
      </c>
      <c r="H39" s="10">
        <v>1144590.9280095</v>
      </c>
      <c r="I39" s="10">
        <v>11435026.023766801</v>
      </c>
      <c r="J39" s="10">
        <v>4659280.8555790996</v>
      </c>
      <c r="K39" s="10">
        <v>1827028.5560486</v>
      </c>
      <c r="L39" s="10">
        <v>100332340.851403</v>
      </c>
      <c r="M39" s="10">
        <v>128825.128295</v>
      </c>
      <c r="N39" s="10">
        <v>553575776.84605598</v>
      </c>
      <c r="O39" s="10">
        <v>10643425.463443199</v>
      </c>
      <c r="P39" s="10">
        <v>36049032.142573699</v>
      </c>
      <c r="Q39" s="10">
        <v>480724.56247170002</v>
      </c>
      <c r="R39" s="10">
        <v>61387345.195140503</v>
      </c>
      <c r="S39" s="10">
        <v>757511.78429790004</v>
      </c>
      <c r="T39" s="10">
        <v>9746121.0792644005</v>
      </c>
      <c r="U39" s="10">
        <v>413234.99100620003</v>
      </c>
      <c r="V39" s="10">
        <v>53120.142773300002</v>
      </c>
      <c r="W39" s="10">
        <v>47341329.206492901</v>
      </c>
      <c r="X39" s="10">
        <v>1395950.7339206</v>
      </c>
      <c r="Y39" s="10">
        <v>28479062.232702699</v>
      </c>
      <c r="Z39" s="10">
        <v>2420319.4542175001</v>
      </c>
      <c r="AA39" s="10">
        <v>5303457.0605916996</v>
      </c>
      <c r="AB39" s="10">
        <v>840080.56249379995</v>
      </c>
      <c r="AC39" s="10">
        <v>55475453.228110403</v>
      </c>
      <c r="AD39" s="10">
        <v>9728796.3299473003</v>
      </c>
      <c r="AE39" s="10">
        <v>5334746.3868423002</v>
      </c>
      <c r="AF39" s="10">
        <v>2144677.4619076001</v>
      </c>
      <c r="AG39" s="10">
        <v>19108802</v>
      </c>
      <c r="AH39" s="10">
        <v>2114571020.9758499</v>
      </c>
    </row>
    <row r="40" spans="2:34" x14ac:dyDescent="0.35">
      <c r="B40" t="s">
        <v>131</v>
      </c>
      <c r="C40" t="s">
        <v>206</v>
      </c>
      <c r="D40" s="10">
        <v>7673771.3364968002</v>
      </c>
      <c r="E40" s="10">
        <v>74491.366383300003</v>
      </c>
      <c r="F40" s="10">
        <v>947639554.76100194</v>
      </c>
      <c r="G40" s="10">
        <v>63114769.540174499</v>
      </c>
      <c r="H40" s="10">
        <v>1062424.5430942001</v>
      </c>
      <c r="I40" s="10">
        <v>10256301.428059399</v>
      </c>
      <c r="J40" s="10">
        <v>4244438.8448636997</v>
      </c>
      <c r="K40" s="10">
        <v>1825630.0581584</v>
      </c>
      <c r="L40" s="10">
        <v>93832317.391107902</v>
      </c>
      <c r="M40" s="10">
        <v>107742.34276689999</v>
      </c>
      <c r="N40" s="10">
        <v>508762014.38814503</v>
      </c>
      <c r="O40" s="10">
        <v>10316611.796640299</v>
      </c>
      <c r="P40" s="10">
        <v>34250623.222846501</v>
      </c>
      <c r="Q40" s="10">
        <v>441940.61156470003</v>
      </c>
      <c r="R40" s="10">
        <v>59306196.571227796</v>
      </c>
      <c r="S40" s="10">
        <v>942317.21808909997</v>
      </c>
      <c r="T40" s="10">
        <v>7697204.2142110001</v>
      </c>
      <c r="U40" s="10">
        <v>431079.88524219999</v>
      </c>
      <c r="V40" s="10">
        <v>53043.664356100002</v>
      </c>
      <c r="W40" s="10">
        <v>47378366.847410999</v>
      </c>
      <c r="X40" s="10">
        <v>1303223.0898634</v>
      </c>
      <c r="Y40" s="10">
        <v>27954893.224424299</v>
      </c>
      <c r="Z40" s="10">
        <v>2319202.6739507001</v>
      </c>
      <c r="AA40" s="10">
        <v>5460542.3014345998</v>
      </c>
      <c r="AB40" s="10">
        <v>731083.5924511</v>
      </c>
      <c r="AC40" s="10">
        <v>52235514.566910602</v>
      </c>
      <c r="AD40" s="10">
        <v>10254357.340916</v>
      </c>
      <c r="AE40" s="10">
        <v>5459498.3707732996</v>
      </c>
      <c r="AF40" s="10">
        <v>2335945.1275089998</v>
      </c>
      <c r="AG40" s="10">
        <v>17384180</v>
      </c>
      <c r="AH40" s="10">
        <v>1924849280.3200734</v>
      </c>
    </row>
    <row r="41" spans="2:34" x14ac:dyDescent="0.35">
      <c r="B41" t="s">
        <v>131</v>
      </c>
      <c r="C41" t="s">
        <v>207</v>
      </c>
      <c r="D41" s="10">
        <v>7675929.3911186997</v>
      </c>
      <c r="E41" s="10">
        <v>74276.501205799999</v>
      </c>
      <c r="F41" s="10">
        <v>628866442.90595496</v>
      </c>
      <c r="G41" s="10">
        <v>47545919.888773203</v>
      </c>
      <c r="H41" s="10">
        <v>839052.36805379996</v>
      </c>
      <c r="I41" s="10">
        <v>7303919.5347338999</v>
      </c>
      <c r="J41" s="10">
        <v>3346290.2445752998</v>
      </c>
      <c r="K41" s="10">
        <v>1824232.8543211999</v>
      </c>
      <c r="L41" s="10">
        <v>84707753.181254998</v>
      </c>
      <c r="M41" s="10">
        <v>91871.643733499994</v>
      </c>
      <c r="N41" s="10">
        <v>448980817.84879702</v>
      </c>
      <c r="O41" s="10">
        <v>9508791.1262905002</v>
      </c>
      <c r="P41" s="10">
        <v>29941949.747857202</v>
      </c>
      <c r="Q41" s="10">
        <v>396325.55391279998</v>
      </c>
      <c r="R41" s="10">
        <v>54300527.233185701</v>
      </c>
      <c r="S41" s="10">
        <v>930186.16237399995</v>
      </c>
      <c r="T41" s="10">
        <v>7042609.1486702999</v>
      </c>
      <c r="U41" s="10">
        <v>1987345.8996021999</v>
      </c>
      <c r="V41" s="10">
        <v>52967.325255800002</v>
      </c>
      <c r="W41" s="10">
        <v>43253570.946672097</v>
      </c>
      <c r="X41" s="10">
        <v>1124201.5374232</v>
      </c>
      <c r="Y41" s="10">
        <v>24423844.339877099</v>
      </c>
      <c r="Z41" s="10">
        <v>2092820.5956474999</v>
      </c>
      <c r="AA41" s="10">
        <v>4698403.0994073004</v>
      </c>
      <c r="AB41" s="10">
        <v>644031.50712149998</v>
      </c>
      <c r="AC41" s="10">
        <v>50248279.548256896</v>
      </c>
      <c r="AD41" s="10">
        <v>9553361.1164747998</v>
      </c>
      <c r="AE41" s="10">
        <v>5902009.7853132999</v>
      </c>
      <c r="AF41" s="10">
        <v>2082314.9985505999</v>
      </c>
      <c r="AG41" s="10">
        <v>20393454</v>
      </c>
      <c r="AH41" s="10">
        <v>1499833500.0344155</v>
      </c>
    </row>
    <row r="42" spans="2:34" x14ac:dyDescent="0.35">
      <c r="B42" t="s">
        <v>131</v>
      </c>
      <c r="C42" t="s">
        <v>208</v>
      </c>
      <c r="D42" s="10">
        <v>7678091.9063093998</v>
      </c>
      <c r="E42" s="10">
        <v>74062.301489899997</v>
      </c>
      <c r="F42" s="10">
        <v>520867034.66159087</v>
      </c>
      <c r="G42" s="10">
        <v>53982252.158746503</v>
      </c>
      <c r="H42" s="10">
        <v>966457.67159200006</v>
      </c>
      <c r="I42" s="10">
        <v>6852856.6781673003</v>
      </c>
      <c r="J42" s="10">
        <v>4145661.9453210002</v>
      </c>
      <c r="K42" s="10">
        <v>1822836.9437444999</v>
      </c>
      <c r="L42" s="10">
        <v>75625238.739515305</v>
      </c>
      <c r="M42" s="10">
        <v>68605.837725499994</v>
      </c>
      <c r="N42" s="10">
        <v>405447214.47915608</v>
      </c>
      <c r="O42" s="10">
        <v>8746206.1077484004</v>
      </c>
      <c r="P42" s="10">
        <v>27906685.015966602</v>
      </c>
      <c r="Q42" s="10">
        <v>322740.54615870002</v>
      </c>
      <c r="R42" s="10">
        <v>52681559.381068401</v>
      </c>
      <c r="S42" s="10">
        <v>940570.22417569999</v>
      </c>
      <c r="T42" s="10">
        <v>6492586.3018009001</v>
      </c>
      <c r="U42" s="10">
        <v>425667.82294049999</v>
      </c>
      <c r="V42" s="10">
        <v>52891.125144899997</v>
      </c>
      <c r="W42" s="10">
        <v>42271090.430722803</v>
      </c>
      <c r="X42" s="10">
        <v>985711.90015570004</v>
      </c>
      <c r="Y42" s="10">
        <v>24165056.6721287</v>
      </c>
      <c r="Z42" s="10">
        <v>1748762.6635165</v>
      </c>
      <c r="AA42" s="10">
        <v>4655698.7389618997</v>
      </c>
      <c r="AB42" s="10">
        <v>492657.21160819998</v>
      </c>
      <c r="AC42" s="10">
        <v>47040087.999387801</v>
      </c>
      <c r="AD42" s="10">
        <v>9568789.6309910007</v>
      </c>
      <c r="AE42" s="10">
        <v>2816952.3464421001</v>
      </c>
      <c r="AF42" s="10">
        <v>2172820.0809403998</v>
      </c>
      <c r="AG42" s="10">
        <v>16770094</v>
      </c>
      <c r="AH42" s="10">
        <v>1327786941.5232182</v>
      </c>
    </row>
    <row r="43" spans="2:34" x14ac:dyDescent="0.35">
      <c r="B43" t="s">
        <v>131</v>
      </c>
      <c r="C43" t="s">
        <v>209</v>
      </c>
      <c r="D43" s="10">
        <v>7680258.8859304003</v>
      </c>
      <c r="E43" s="10">
        <v>73848.765318499994</v>
      </c>
      <c r="F43" s="10">
        <v>596642566.87634003</v>
      </c>
      <c r="G43" s="10">
        <v>88633893.2327241</v>
      </c>
      <c r="H43" s="10">
        <v>1368444.7971132</v>
      </c>
      <c r="I43" s="10">
        <v>8731519.0376692005</v>
      </c>
      <c r="J43" s="10">
        <v>6838807.5424760003</v>
      </c>
      <c r="K43" s="10">
        <v>1821442.3256383999</v>
      </c>
      <c r="L43" s="10">
        <v>76480000.395645395</v>
      </c>
      <c r="M43" s="10">
        <v>89802.284747500002</v>
      </c>
      <c r="N43" s="10">
        <v>431512896.745341</v>
      </c>
      <c r="O43" s="10">
        <v>8771817.8518976998</v>
      </c>
      <c r="P43" s="10">
        <v>29493209.633437701</v>
      </c>
      <c r="Q43" s="10">
        <v>308547.30601379997</v>
      </c>
      <c r="R43" s="10">
        <v>57098736.970464401</v>
      </c>
      <c r="S43" s="10">
        <v>1090429.087609</v>
      </c>
      <c r="T43" s="10">
        <v>6777660.1394611998</v>
      </c>
      <c r="U43" s="10">
        <v>107371.1597438</v>
      </c>
      <c r="V43" s="10">
        <v>52815.063696899997</v>
      </c>
      <c r="W43" s="10">
        <v>41123927.952547401</v>
      </c>
      <c r="X43" s="10">
        <v>953587.17156669998</v>
      </c>
      <c r="Y43" s="10">
        <v>23949562.134059299</v>
      </c>
      <c r="Z43" s="10">
        <v>1576106.8078323</v>
      </c>
      <c r="AA43" s="10">
        <v>4381152.8571250997</v>
      </c>
      <c r="AB43" s="10">
        <v>493421.8204043</v>
      </c>
      <c r="AC43" s="10">
        <v>46588184.918884903</v>
      </c>
      <c r="AD43" s="10">
        <v>9344481.0374455992</v>
      </c>
      <c r="AE43" s="10">
        <v>4115823.1823761002</v>
      </c>
      <c r="AF43" s="10">
        <v>2083746.1540615</v>
      </c>
      <c r="AG43" s="10">
        <v>19247503</v>
      </c>
      <c r="AH43" s="10">
        <v>1477431565.1375713</v>
      </c>
    </row>
    <row r="44" spans="2:34" x14ac:dyDescent="0.35">
      <c r="B44" t="s">
        <v>131</v>
      </c>
      <c r="C44" t="s">
        <v>210</v>
      </c>
      <c r="D44" s="10">
        <v>7682430.3338561999</v>
      </c>
      <c r="E44" s="10">
        <v>73635.890780700007</v>
      </c>
      <c r="F44" s="10">
        <v>695728780.74584889</v>
      </c>
      <c r="G44" s="10">
        <v>121019988.765689</v>
      </c>
      <c r="H44" s="10">
        <v>1751633.4811801</v>
      </c>
      <c r="I44" s="10">
        <v>10900509.8674006</v>
      </c>
      <c r="J44" s="10">
        <v>9736162.4720047005</v>
      </c>
      <c r="K44" s="10">
        <v>1820048.9992154001</v>
      </c>
      <c r="L44" s="10">
        <v>80647875.375828207</v>
      </c>
      <c r="M44" s="10">
        <v>97882.540430900001</v>
      </c>
      <c r="N44" s="10">
        <v>465341036.066351</v>
      </c>
      <c r="O44" s="10">
        <v>8768099.0800883006</v>
      </c>
      <c r="P44" s="10">
        <v>33578408.898348503</v>
      </c>
      <c r="Q44" s="10">
        <v>340348.70405950001</v>
      </c>
      <c r="R44" s="10">
        <v>57292272.733608201</v>
      </c>
      <c r="S44" s="10">
        <v>1039336.1456544</v>
      </c>
      <c r="T44" s="10">
        <v>7404580.7637818996</v>
      </c>
      <c r="U44" s="10">
        <v>60978.9926338</v>
      </c>
      <c r="V44" s="10">
        <v>52739.140586100002</v>
      </c>
      <c r="W44" s="10">
        <v>40968573.535270698</v>
      </c>
      <c r="X44" s="10">
        <v>952234.75294949999</v>
      </c>
      <c r="Y44" s="10">
        <v>24203794.381901</v>
      </c>
      <c r="Z44" s="10">
        <v>1693515.0389262999</v>
      </c>
      <c r="AA44" s="10">
        <v>4728232.3662323002</v>
      </c>
      <c r="AB44" s="10">
        <v>631343.26434810006</v>
      </c>
      <c r="AC44" s="10">
        <v>48951660.990681</v>
      </c>
      <c r="AD44" s="10">
        <v>10663411.118090499</v>
      </c>
      <c r="AE44" s="10">
        <v>6294329.5638843002</v>
      </c>
      <c r="AF44" s="10">
        <v>2384654.8471303</v>
      </c>
      <c r="AG44" s="10">
        <v>18596576</v>
      </c>
      <c r="AH44" s="10">
        <v>1663405074.8567605</v>
      </c>
    </row>
    <row r="45" spans="2:34" x14ac:dyDescent="0.35">
      <c r="B45" t="s">
        <v>131</v>
      </c>
      <c r="C45" t="s">
        <v>211</v>
      </c>
      <c r="D45" s="10">
        <v>7684606.2539744005</v>
      </c>
      <c r="E45" s="10">
        <v>73423.675971799996</v>
      </c>
      <c r="F45" s="10">
        <v>649768266.62572896</v>
      </c>
      <c r="G45" s="10">
        <v>124283283.67123909</v>
      </c>
      <c r="H45" s="10">
        <v>1766758.0988266</v>
      </c>
      <c r="I45" s="10">
        <v>10577942.077415399</v>
      </c>
      <c r="J45" s="10">
        <v>9990194.3618589006</v>
      </c>
      <c r="K45" s="10">
        <v>1818656.9636903999</v>
      </c>
      <c r="L45" s="10">
        <v>79875859.365971401</v>
      </c>
      <c r="M45" s="10">
        <v>109232.60303909999</v>
      </c>
      <c r="N45" s="10">
        <v>449281114.26079798</v>
      </c>
      <c r="O45" s="10">
        <v>8113433.6532204999</v>
      </c>
      <c r="P45" s="10">
        <v>32901321.521287002</v>
      </c>
      <c r="Q45" s="10">
        <v>310326.34421389998</v>
      </c>
      <c r="R45" s="10">
        <v>55570610.787313402</v>
      </c>
      <c r="S45" s="10">
        <v>858176.66346379998</v>
      </c>
      <c r="T45" s="10">
        <v>7177554.1612136997</v>
      </c>
      <c r="U45" s="10">
        <v>83570.475788800002</v>
      </c>
      <c r="V45" s="10">
        <v>52663.3554878</v>
      </c>
      <c r="W45" s="10">
        <v>43119754.146248303</v>
      </c>
      <c r="X45" s="10">
        <v>888822.16156749998</v>
      </c>
      <c r="Y45" s="10">
        <v>26151931.513960201</v>
      </c>
      <c r="Z45" s="10">
        <v>1731805.7970815999</v>
      </c>
      <c r="AA45" s="10">
        <v>5014083.1910490002</v>
      </c>
      <c r="AB45" s="10">
        <v>676659.19631320005</v>
      </c>
      <c r="AC45" s="10">
        <v>46548479.226851903</v>
      </c>
      <c r="AD45" s="10">
        <v>10553072.3199354</v>
      </c>
      <c r="AE45" s="10">
        <v>4200429.0103944996</v>
      </c>
      <c r="AF45" s="10">
        <v>2233555.0811105999</v>
      </c>
      <c r="AG45" s="10">
        <v>16247185</v>
      </c>
      <c r="AH45" s="10">
        <v>1597662771.5650156</v>
      </c>
    </row>
    <row r="46" spans="2:34" x14ac:dyDescent="0.35">
      <c r="B46" t="s">
        <v>131</v>
      </c>
      <c r="C46" t="s">
        <v>212</v>
      </c>
      <c r="D46" s="10">
        <v>7686786.6501856996</v>
      </c>
      <c r="E46" s="10">
        <v>73212.118993600001</v>
      </c>
      <c r="F46" s="10">
        <v>595690390.50538003</v>
      </c>
      <c r="G46" s="10">
        <v>114783123.868185</v>
      </c>
      <c r="H46" s="10">
        <v>1524332.8776852</v>
      </c>
      <c r="I46" s="10">
        <v>9657894.2870592996</v>
      </c>
      <c r="J46" s="10">
        <v>8920423.3576499</v>
      </c>
      <c r="K46" s="10">
        <v>1817266.2182809999</v>
      </c>
      <c r="L46" s="10">
        <v>78807201.100703597</v>
      </c>
      <c r="M46" s="10">
        <v>116975.0315176</v>
      </c>
      <c r="N46" s="10">
        <v>442891430.618007</v>
      </c>
      <c r="O46" s="10">
        <v>8101444.8828160996</v>
      </c>
      <c r="P46" s="10">
        <v>32228338.312807299</v>
      </c>
      <c r="Q46" s="10">
        <v>316752.99106779997</v>
      </c>
      <c r="R46" s="10">
        <v>53783877.658683203</v>
      </c>
      <c r="S46" s="10">
        <v>464776.29436100001</v>
      </c>
      <c r="T46" s="10">
        <v>7254899.0167031996</v>
      </c>
      <c r="U46" s="10">
        <v>59036.875052000003</v>
      </c>
      <c r="V46" s="10">
        <v>52587.708078199998</v>
      </c>
      <c r="W46" s="10">
        <v>43319383.866420202</v>
      </c>
      <c r="X46" s="10">
        <v>886365.16851989995</v>
      </c>
      <c r="Y46" s="10">
        <v>25710258.866154999</v>
      </c>
      <c r="Z46" s="10">
        <v>1534275.8388127999</v>
      </c>
      <c r="AA46" s="10">
        <v>4935239.3388334</v>
      </c>
      <c r="AB46" s="10">
        <v>614064.65468050004</v>
      </c>
      <c r="AC46" s="10">
        <v>48885382.968283601</v>
      </c>
      <c r="AD46" s="10">
        <v>10160030.431863301</v>
      </c>
      <c r="AE46" s="10">
        <v>6438303.6224202998</v>
      </c>
      <c r="AF46" s="10">
        <v>2223757.5359326</v>
      </c>
      <c r="AG46" s="10">
        <v>19762603</v>
      </c>
      <c r="AH46" s="10">
        <v>1528700415.6651387</v>
      </c>
    </row>
    <row r="47" spans="2:34" x14ac:dyDescent="0.35">
      <c r="B47" t="s">
        <v>131</v>
      </c>
      <c r="C47" t="s">
        <v>213</v>
      </c>
      <c r="D47" s="10">
        <v>7688971.5264040995</v>
      </c>
      <c r="E47" s="10">
        <v>73001.217953700005</v>
      </c>
      <c r="F47" s="10">
        <v>520070825.32022202</v>
      </c>
      <c r="G47" s="10">
        <v>82428884.116003707</v>
      </c>
      <c r="H47" s="10">
        <v>1094297.1845100999</v>
      </c>
      <c r="I47" s="10">
        <v>7847269.3551941998</v>
      </c>
      <c r="J47" s="10">
        <v>6359829.2881688997</v>
      </c>
      <c r="K47" s="10">
        <v>1815876.7622070999</v>
      </c>
      <c r="L47" s="10">
        <v>73405040.941961199</v>
      </c>
      <c r="M47" s="10">
        <v>94564.323450299999</v>
      </c>
      <c r="N47" s="10">
        <v>409320279.01844913</v>
      </c>
      <c r="O47" s="10">
        <v>8268118.5242339997</v>
      </c>
      <c r="P47" s="10">
        <v>28653283.228624701</v>
      </c>
      <c r="Q47" s="10">
        <v>341740.72150340001</v>
      </c>
      <c r="R47" s="10">
        <v>47886675.554756001</v>
      </c>
      <c r="S47" s="10">
        <v>406516.94685810001</v>
      </c>
      <c r="T47" s="10">
        <v>6508953.5094807995</v>
      </c>
      <c r="U47" s="10">
        <v>186591.26847559999</v>
      </c>
      <c r="V47" s="10">
        <v>52512.198034300003</v>
      </c>
      <c r="W47" s="10">
        <v>42028119.666295797</v>
      </c>
      <c r="X47" s="10">
        <v>927477.46539879998</v>
      </c>
      <c r="Y47" s="10">
        <v>24634424.0474809</v>
      </c>
      <c r="Z47" s="10">
        <v>1493544.2459241999</v>
      </c>
      <c r="AA47" s="10">
        <v>4650563.6096673999</v>
      </c>
      <c r="AB47" s="10">
        <v>609648.20502460003</v>
      </c>
      <c r="AC47" s="10">
        <v>47246243.956425004</v>
      </c>
      <c r="AD47" s="10">
        <v>9641631.1729063001</v>
      </c>
      <c r="AE47" s="10">
        <v>3168410.6376053002</v>
      </c>
      <c r="AF47" s="10">
        <v>2204078.3952374002</v>
      </c>
      <c r="AG47" s="10">
        <v>17843450</v>
      </c>
      <c r="AH47" s="10">
        <v>1356950822.408457</v>
      </c>
    </row>
    <row r="48" spans="2:34" x14ac:dyDescent="0.35">
      <c r="B48" t="s">
        <v>131</v>
      </c>
      <c r="C48" t="s">
        <v>214</v>
      </c>
      <c r="D48" s="10">
        <v>7691160.8865569001</v>
      </c>
      <c r="E48" s="10">
        <v>72790.970966299996</v>
      </c>
      <c r="F48" s="10">
        <v>488385259.26715708</v>
      </c>
      <c r="G48" s="10">
        <v>57617162.809896097</v>
      </c>
      <c r="H48" s="10">
        <v>882533.44842629996</v>
      </c>
      <c r="I48" s="10">
        <v>6786569.6190974005</v>
      </c>
      <c r="J48" s="10">
        <v>4494767.0972916</v>
      </c>
      <c r="K48" s="10">
        <v>1814488.5946913001</v>
      </c>
      <c r="L48" s="10">
        <v>72281902.793630093</v>
      </c>
      <c r="M48" s="10">
        <v>83031.980093499995</v>
      </c>
      <c r="N48" s="10">
        <v>383378987.71782303</v>
      </c>
      <c r="O48" s="10">
        <v>8328037.1113315998</v>
      </c>
      <c r="P48" s="10">
        <v>28267834.155297302</v>
      </c>
      <c r="Q48" s="10">
        <v>346484.73170300003</v>
      </c>
      <c r="R48" s="10">
        <v>45641003.050570898</v>
      </c>
      <c r="S48" s="10">
        <v>832458.48849929997</v>
      </c>
      <c r="T48" s="10">
        <v>6739406.7698154999</v>
      </c>
      <c r="U48" s="10">
        <v>814016.90654450003</v>
      </c>
      <c r="V48" s="10">
        <v>52436.825034399997</v>
      </c>
      <c r="W48" s="10">
        <v>39168426.587237097</v>
      </c>
      <c r="X48" s="10">
        <v>952744.91423400003</v>
      </c>
      <c r="Y48" s="10">
        <v>22031486.355985101</v>
      </c>
      <c r="Z48" s="10">
        <v>1735951.9816503001</v>
      </c>
      <c r="AA48" s="10">
        <v>4374086.3514604</v>
      </c>
      <c r="AB48" s="10">
        <v>620738.49339790002</v>
      </c>
      <c r="AC48" s="10">
        <v>45734606.177307397</v>
      </c>
      <c r="AD48" s="10">
        <v>9107025.3310947996</v>
      </c>
      <c r="AE48" s="10">
        <v>4058294.6014426001</v>
      </c>
      <c r="AF48" s="10">
        <v>1963472.7811562</v>
      </c>
      <c r="AG48" s="10">
        <v>18016920</v>
      </c>
      <c r="AH48" s="10">
        <v>1262274086.799392</v>
      </c>
    </row>
    <row r="49" spans="1:34" x14ac:dyDescent="0.35">
      <c r="B49" t="s">
        <v>131</v>
      </c>
      <c r="C49" t="s">
        <v>215</v>
      </c>
      <c r="D49" s="10">
        <v>7693354.7345845001</v>
      </c>
      <c r="E49" s="10">
        <v>72581.376151499993</v>
      </c>
      <c r="F49" s="10">
        <v>652401142.18967187</v>
      </c>
      <c r="G49" s="10">
        <v>52268960.893586397</v>
      </c>
      <c r="H49" s="10">
        <v>907259.36219510005</v>
      </c>
      <c r="I49" s="10">
        <v>7829020.5727265002</v>
      </c>
      <c r="J49" s="10">
        <v>3808753.9907439998</v>
      </c>
      <c r="K49" s="10">
        <v>1813101.7149584999</v>
      </c>
      <c r="L49" s="10">
        <v>82271689.216047898</v>
      </c>
      <c r="M49" s="10">
        <v>95154.792159499993</v>
      </c>
      <c r="N49" s="10">
        <v>440280216.98731202</v>
      </c>
      <c r="O49" s="10">
        <v>9262206.9481080994</v>
      </c>
      <c r="P49" s="10">
        <v>27423834.6402229</v>
      </c>
      <c r="Q49" s="10">
        <v>399904.86142450001</v>
      </c>
      <c r="R49" s="10">
        <v>52469357.234265298</v>
      </c>
      <c r="S49" s="10">
        <v>600297.44664830004</v>
      </c>
      <c r="T49" s="10">
        <v>7858154.6091513</v>
      </c>
      <c r="U49" s="10">
        <v>558746.04970149999</v>
      </c>
      <c r="V49" s="10">
        <v>52361.5887573</v>
      </c>
      <c r="W49" s="10">
        <v>41473718.553781398</v>
      </c>
      <c r="X49" s="10">
        <v>1175483.9154546</v>
      </c>
      <c r="Y49" s="10">
        <v>23403036.2833317</v>
      </c>
      <c r="Z49" s="10">
        <v>2048365.6644742</v>
      </c>
      <c r="AA49" s="10">
        <v>4363973.3919772999</v>
      </c>
      <c r="AB49" s="10">
        <v>677831.60638380004</v>
      </c>
      <c r="AC49" s="10">
        <v>49351173.6268133</v>
      </c>
      <c r="AD49" s="10">
        <v>9523939.5138965007</v>
      </c>
      <c r="AE49" s="10">
        <v>4266248.0896575004</v>
      </c>
      <c r="AF49" s="10">
        <v>2025305.4654726</v>
      </c>
      <c r="AG49" s="10">
        <v>18040363</v>
      </c>
      <c r="AH49" s="10">
        <v>1504415538.3196604</v>
      </c>
    </row>
    <row r="50" spans="1:34" x14ac:dyDescent="0.35">
      <c r="B50" t="s">
        <v>131</v>
      </c>
      <c r="C50" t="s">
        <v>216</v>
      </c>
      <c r="D50" s="10">
        <v>7695553.0744404001</v>
      </c>
      <c r="E50" s="10">
        <v>72372.431635700006</v>
      </c>
      <c r="F50" s="10">
        <v>991597816.00800502</v>
      </c>
      <c r="G50" s="10">
        <v>63706590.334216498</v>
      </c>
      <c r="H50" s="10">
        <v>1161950.7038960999</v>
      </c>
      <c r="I50" s="10">
        <v>10841649.959400101</v>
      </c>
      <c r="J50" s="10">
        <v>4418491.3596194005</v>
      </c>
      <c r="K50" s="10">
        <v>1811716.1222361999</v>
      </c>
      <c r="L50" s="10">
        <v>92557523.845889494</v>
      </c>
      <c r="M50" s="10">
        <v>105803.1308848</v>
      </c>
      <c r="N50" s="10">
        <v>503995864.23562098</v>
      </c>
      <c r="O50" s="10">
        <v>10371229.346534301</v>
      </c>
      <c r="P50" s="10">
        <v>33408575.0664827</v>
      </c>
      <c r="Q50" s="10">
        <v>468001.8945387</v>
      </c>
      <c r="R50" s="10">
        <v>57076607.761534303</v>
      </c>
      <c r="S50" s="10">
        <v>814147.01299089997</v>
      </c>
      <c r="T50" s="10">
        <v>9078084.2964990996</v>
      </c>
      <c r="U50" s="10">
        <v>400440.98678799998</v>
      </c>
      <c r="V50" s="10">
        <v>52286.488882899997</v>
      </c>
      <c r="W50" s="10">
        <v>47401011.952277698</v>
      </c>
      <c r="X50" s="10">
        <v>1515160.7009019</v>
      </c>
      <c r="Y50" s="10">
        <v>27684247.519641701</v>
      </c>
      <c r="Z50" s="10">
        <v>2393463.1380353002</v>
      </c>
      <c r="AA50" s="10">
        <v>5278512.5574203003</v>
      </c>
      <c r="AB50" s="10">
        <v>865485.93616170005</v>
      </c>
      <c r="AC50" s="10">
        <v>53300416.720387802</v>
      </c>
      <c r="AD50" s="10">
        <v>10270175.069140799</v>
      </c>
      <c r="AE50" s="10">
        <v>4570115.0519334003</v>
      </c>
      <c r="AF50" s="10">
        <v>2320016.5652164002</v>
      </c>
      <c r="AG50" s="10">
        <v>19585559</v>
      </c>
      <c r="AH50" s="10">
        <v>1964818868.2712126</v>
      </c>
    </row>
    <row r="51" spans="1:34" x14ac:dyDescent="0.35">
      <c r="B51" t="s">
        <v>131</v>
      </c>
      <c r="C51" t="s">
        <v>217</v>
      </c>
      <c r="D51" s="10">
        <v>7697755.9100919003</v>
      </c>
      <c r="E51" s="10">
        <v>72164.135551300002</v>
      </c>
      <c r="F51" s="10">
        <v>1067780929.33813</v>
      </c>
      <c r="G51" s="10">
        <v>68550333.275531694</v>
      </c>
      <c r="H51" s="10">
        <v>1144301.5378353</v>
      </c>
      <c r="I51" s="10">
        <v>11432134.873669101</v>
      </c>
      <c r="J51" s="10">
        <v>4658102.8363709999</v>
      </c>
      <c r="K51" s="10">
        <v>1810331.8157544001</v>
      </c>
      <c r="L51" s="10">
        <v>97659359.722346604</v>
      </c>
      <c r="M51" s="10">
        <v>125393.0630809</v>
      </c>
      <c r="N51" s="10">
        <v>538827814.30022097</v>
      </c>
      <c r="O51" s="10">
        <v>10359871.0763843</v>
      </c>
      <c r="P51" s="10">
        <v>35088640.091315098</v>
      </c>
      <c r="Q51" s="10">
        <v>467917.44890439999</v>
      </c>
      <c r="R51" s="10">
        <v>59751908.267455101</v>
      </c>
      <c r="S51" s="10">
        <v>737330.70721659996</v>
      </c>
      <c r="T51" s="10">
        <v>9486472.0218886007</v>
      </c>
      <c r="U51" s="10">
        <v>402225.88543319999</v>
      </c>
      <c r="V51" s="10">
        <v>52211.525092099997</v>
      </c>
      <c r="W51" s="10">
        <v>46508367.7078318</v>
      </c>
      <c r="X51" s="10">
        <v>1371389.2517045999</v>
      </c>
      <c r="Y51" s="10">
        <v>27977978.660368901</v>
      </c>
      <c r="Z51" s="10">
        <v>2377734.4031930999</v>
      </c>
      <c r="AA51" s="10">
        <v>5210143.7629864998</v>
      </c>
      <c r="AB51" s="10">
        <v>825299.50805239996</v>
      </c>
      <c r="AC51" s="10">
        <v>54499373.396083802</v>
      </c>
      <c r="AD51" s="10">
        <v>9557620.0468349997</v>
      </c>
      <c r="AE51" s="10">
        <v>5240882.5596147003</v>
      </c>
      <c r="AF51" s="10">
        <v>2106942.2782371002</v>
      </c>
      <c r="AG51" s="10">
        <v>19108802</v>
      </c>
      <c r="AH51" s="10">
        <v>2090889731.4071801</v>
      </c>
    </row>
    <row r="52" spans="1:34" x14ac:dyDescent="0.35">
      <c r="B52" t="s">
        <v>131</v>
      </c>
      <c r="C52" t="s">
        <v>218</v>
      </c>
      <c r="D52" s="10">
        <v>7699963.2455192003</v>
      </c>
      <c r="E52" s="10">
        <v>71956.486036999995</v>
      </c>
      <c r="F52" s="10">
        <v>945589549.93466103</v>
      </c>
      <c r="G52" s="10">
        <v>62978234.945854597</v>
      </c>
      <c r="H52" s="10">
        <v>1060126.2267882</v>
      </c>
      <c r="I52" s="10">
        <v>10234114.229010699</v>
      </c>
      <c r="J52" s="10">
        <v>4235256.9570105001</v>
      </c>
      <c r="K52" s="10">
        <v>1808948.7947458001</v>
      </c>
      <c r="L52" s="10">
        <v>91165036.124585301</v>
      </c>
      <c r="M52" s="10">
        <v>104679.65455390001</v>
      </c>
      <c r="N52" s="10">
        <v>494299924.69638598</v>
      </c>
      <c r="O52" s="10">
        <v>10023351.3705499</v>
      </c>
      <c r="P52" s="10">
        <v>33277013.615527201</v>
      </c>
      <c r="Q52" s="10">
        <v>429377.98978449998</v>
      </c>
      <c r="R52" s="10">
        <v>57620356.217911199</v>
      </c>
      <c r="S52" s="10">
        <v>915530.87056179997</v>
      </c>
      <c r="T52" s="10">
        <v>7478403.1744841002</v>
      </c>
      <c r="U52" s="10">
        <v>418825.99090969999</v>
      </c>
      <c r="V52" s="10">
        <v>52136.697066499997</v>
      </c>
      <c r="W52" s="10">
        <v>46521211.1381552</v>
      </c>
      <c r="X52" s="10">
        <v>1279645.5546667001</v>
      </c>
      <c r="Y52" s="10">
        <v>27449141.381898399</v>
      </c>
      <c r="Z52" s="10">
        <v>2277244.3299811999</v>
      </c>
      <c r="AA52" s="10">
        <v>5361751.7495275997</v>
      </c>
      <c r="AB52" s="10">
        <v>717857.03955550003</v>
      </c>
      <c r="AC52" s="10">
        <v>51290484.745998099</v>
      </c>
      <c r="AD52" s="10">
        <v>10068838.473880701</v>
      </c>
      <c r="AE52" s="10">
        <v>5360726.7053578999</v>
      </c>
      <c r="AF52" s="10">
        <v>2293683.8839123002</v>
      </c>
      <c r="AG52" s="10">
        <v>17384180</v>
      </c>
      <c r="AH52" s="10">
        <v>1899467552.2248809</v>
      </c>
    </row>
    <row r="53" spans="1:34" x14ac:dyDescent="0.35">
      <c r="B53" t="s">
        <v>131</v>
      </c>
      <c r="C53" t="s">
        <v>219</v>
      </c>
      <c r="D53" s="10">
        <v>7702175.0847161002</v>
      </c>
      <c r="E53" s="10">
        <v>71749.481237500004</v>
      </c>
      <c r="F53" s="10">
        <v>623927397.40576804</v>
      </c>
      <c r="G53" s="10">
        <v>47172499.642983399</v>
      </c>
      <c r="H53" s="10">
        <v>832462.54620910005</v>
      </c>
      <c r="I53" s="10">
        <v>7246555.3816315997</v>
      </c>
      <c r="J53" s="10">
        <v>3320008.8616819</v>
      </c>
      <c r="K53" s="10">
        <v>1807567.0584454001</v>
      </c>
      <c r="L53" s="10">
        <v>82051194.190286607</v>
      </c>
      <c r="M53" s="10">
        <v>88990.414660499999</v>
      </c>
      <c r="N53" s="10">
        <v>434900122.94621402</v>
      </c>
      <c r="O53" s="10">
        <v>9210581.5337667</v>
      </c>
      <c r="P53" s="10">
        <v>29002926.425640199</v>
      </c>
      <c r="Q53" s="10">
        <v>383896.2050746</v>
      </c>
      <c r="R53" s="10">
        <v>52597583.306353197</v>
      </c>
      <c r="S53" s="10">
        <v>901014.16429680004</v>
      </c>
      <c r="T53" s="10">
        <v>6821742.6287692999</v>
      </c>
      <c r="U53" s="10">
        <v>1925019.8264921999</v>
      </c>
      <c r="V53" s="10">
        <v>52062.004488799997</v>
      </c>
      <c r="W53" s="10">
        <v>42422918.525988601</v>
      </c>
      <c r="X53" s="10">
        <v>1102612.0892467999</v>
      </c>
      <c r="Y53" s="10">
        <v>23954802.709803801</v>
      </c>
      <c r="Z53" s="10">
        <v>2052629.5442317999</v>
      </c>
      <c r="AA53" s="10">
        <v>4608173.7883364996</v>
      </c>
      <c r="AB53" s="10">
        <v>631663.36459180003</v>
      </c>
      <c r="AC53" s="10">
        <v>49283298.989925601</v>
      </c>
      <c r="AD53" s="10">
        <v>9369895.9744441006</v>
      </c>
      <c r="AE53" s="10">
        <v>5788666.1096868003</v>
      </c>
      <c r="AF53" s="10">
        <v>2042325.6992555</v>
      </c>
      <c r="AG53" s="10">
        <v>20393454</v>
      </c>
      <c r="AH53" s="10">
        <v>1471665989.9042275</v>
      </c>
    </row>
    <row r="54" spans="1:34" x14ac:dyDescent="0.35">
      <c r="B54" t="s">
        <v>131</v>
      </c>
      <c r="C54" t="s">
        <v>220</v>
      </c>
      <c r="D54" s="10">
        <v>7704391.4316897001</v>
      </c>
      <c r="E54" s="10">
        <v>71543.119303700005</v>
      </c>
      <c r="F54" s="10">
        <v>515495967.75589508</v>
      </c>
      <c r="G54" s="10">
        <v>53425598.984768704</v>
      </c>
      <c r="H54" s="10">
        <v>956491.77152499999</v>
      </c>
      <c r="I54" s="10">
        <v>6782191.5193758998</v>
      </c>
      <c r="J54" s="10">
        <v>4102912.7863322999</v>
      </c>
      <c r="K54" s="10">
        <v>1806186.6060907999</v>
      </c>
      <c r="L54" s="10">
        <v>73074531.925959393</v>
      </c>
      <c r="M54" s="10">
        <v>66291.883010799997</v>
      </c>
      <c r="N54" s="10">
        <v>391772190.24456912</v>
      </c>
      <c r="O54" s="10">
        <v>8451211.8983596992</v>
      </c>
      <c r="P54" s="10">
        <v>26965441.420568999</v>
      </c>
      <c r="Q54" s="10">
        <v>311855.07295130001</v>
      </c>
      <c r="R54" s="10">
        <v>50904702.676855102</v>
      </c>
      <c r="S54" s="10">
        <v>908846.43831500004</v>
      </c>
      <c r="T54" s="10">
        <v>6273602.7403122997</v>
      </c>
      <c r="U54" s="10">
        <v>411310.7930074</v>
      </c>
      <c r="V54" s="10">
        <v>51987.447042500004</v>
      </c>
      <c r="W54" s="10">
        <v>41428677.514047801</v>
      </c>
      <c r="X54" s="10">
        <v>966067.82595870004</v>
      </c>
      <c r="Y54" s="10">
        <v>23683475.627841499</v>
      </c>
      <c r="Z54" s="10">
        <v>1713911.8886504001</v>
      </c>
      <c r="AA54" s="10">
        <v>4562916.1607534001</v>
      </c>
      <c r="AB54" s="10">
        <v>482839.13513269997</v>
      </c>
      <c r="AC54" s="10">
        <v>46102634.592616603</v>
      </c>
      <c r="AD54" s="10">
        <v>9378094.9529034998</v>
      </c>
      <c r="AE54" s="10">
        <v>2760813.8125617998</v>
      </c>
      <c r="AF54" s="10">
        <v>2129518.3424912002</v>
      </c>
      <c r="AG54" s="10">
        <v>16770094</v>
      </c>
      <c r="AH54" s="10">
        <v>1299516300.3688903</v>
      </c>
    </row>
    <row r="55" spans="1:34" x14ac:dyDescent="0.35">
      <c r="B55" t="s">
        <v>131</v>
      </c>
      <c r="C55" t="s">
        <v>221</v>
      </c>
      <c r="D55" s="10">
        <v>7706612.2904604999</v>
      </c>
      <c r="E55" s="10">
        <v>71337.398392400006</v>
      </c>
      <c r="F55" s="10">
        <v>591694593.97566795</v>
      </c>
      <c r="G55" s="10">
        <v>87898849.965374604</v>
      </c>
      <c r="H55" s="10">
        <v>1357096.2474988999</v>
      </c>
      <c r="I55" s="10">
        <v>8659108.3147698008</v>
      </c>
      <c r="J55" s="10">
        <v>6782093.1270593004</v>
      </c>
      <c r="K55" s="10">
        <v>1804807.4369220999</v>
      </c>
      <c r="L55" s="10">
        <v>74029057.038881496</v>
      </c>
      <c r="M55" s="10">
        <v>86924.404097899998</v>
      </c>
      <c r="N55" s="10">
        <v>417684266.22540498</v>
      </c>
      <c r="O55" s="10">
        <v>8490708.6915991995</v>
      </c>
      <c r="P55" s="10">
        <v>28548045.0695416</v>
      </c>
      <c r="Q55" s="10">
        <v>298659.335747</v>
      </c>
      <c r="R55" s="10">
        <v>55268902.120393798</v>
      </c>
      <c r="S55" s="10">
        <v>1055484.2665515</v>
      </c>
      <c r="T55" s="10">
        <v>6560457.4589267001</v>
      </c>
      <c r="U55" s="10">
        <v>103930.2519336</v>
      </c>
      <c r="V55" s="10">
        <v>51913.024411999999</v>
      </c>
      <c r="W55" s="10">
        <v>40281982.209273897</v>
      </c>
      <c r="X55" s="10">
        <v>934064.02044969995</v>
      </c>
      <c r="Y55" s="10">
        <v>23459233.683058601</v>
      </c>
      <c r="Z55" s="10">
        <v>1543838.5765648</v>
      </c>
      <c r="AA55" s="10">
        <v>4291455.8563195998</v>
      </c>
      <c r="AB55" s="10">
        <v>483319.80870430003</v>
      </c>
      <c r="AC55" s="10">
        <v>45634367.374399498</v>
      </c>
      <c r="AD55" s="10">
        <v>9153167.9400766995</v>
      </c>
      <c r="AE55" s="10">
        <v>4031558.3764348002</v>
      </c>
      <c r="AF55" s="10">
        <v>2041084.8303061</v>
      </c>
      <c r="AG55" s="10">
        <v>19247503</v>
      </c>
      <c r="AH55" s="10">
        <v>1449254422.3192229</v>
      </c>
    </row>
    <row r="56" spans="1:34" x14ac:dyDescent="0.35">
      <c r="A56" t="s">
        <v>131</v>
      </c>
      <c r="B56" t="s">
        <v>132</v>
      </c>
      <c r="C56" t="s">
        <v>150</v>
      </c>
      <c r="D56" t="s">
        <v>135</v>
      </c>
      <c r="F56" s="10">
        <v>11025991.670225199</v>
      </c>
      <c r="G56" s="10">
        <v>2527278.0817791</v>
      </c>
      <c r="H56" s="10">
        <v>13553269.752004299</v>
      </c>
    </row>
    <row r="57" spans="1:34" x14ac:dyDescent="0.35">
      <c r="A57" t="s">
        <v>131</v>
      </c>
      <c r="B57" t="s">
        <v>132</v>
      </c>
      <c r="C57" t="s">
        <v>150</v>
      </c>
      <c r="D57" t="s">
        <v>136</v>
      </c>
      <c r="F57" s="10">
        <v>10524715.672237201</v>
      </c>
      <c r="G57" s="10">
        <v>2295419.2399150999</v>
      </c>
      <c r="H57" s="10">
        <v>12820134.912152302</v>
      </c>
    </row>
    <row r="58" spans="1:34" x14ac:dyDescent="0.35">
      <c r="A58" t="s">
        <v>131</v>
      </c>
      <c r="B58" t="s">
        <v>132</v>
      </c>
      <c r="C58" t="s">
        <v>150</v>
      </c>
      <c r="D58" t="s">
        <v>137</v>
      </c>
      <c r="F58" s="10">
        <v>9894177.6872559991</v>
      </c>
      <c r="G58" s="10">
        <v>2233217.2220982001</v>
      </c>
      <c r="H58" s="10">
        <v>12127394.909354199</v>
      </c>
    </row>
    <row r="59" spans="1:34" x14ac:dyDescent="0.35">
      <c r="A59" t="s">
        <v>131</v>
      </c>
      <c r="B59" t="s">
        <v>132</v>
      </c>
      <c r="C59" t="s">
        <v>150</v>
      </c>
      <c r="D59" t="s">
        <v>138</v>
      </c>
      <c r="F59" s="10">
        <v>9715924.9106984995</v>
      </c>
      <c r="G59" s="10">
        <v>1783301.8073940999</v>
      </c>
      <c r="H59" s="10">
        <v>11499226.7180926</v>
      </c>
    </row>
    <row r="60" spans="1:34" x14ac:dyDescent="0.35">
      <c r="A60" t="s">
        <v>131</v>
      </c>
      <c r="B60" t="s">
        <v>132</v>
      </c>
      <c r="C60" t="s">
        <v>150</v>
      </c>
      <c r="D60" t="s">
        <v>139</v>
      </c>
      <c r="F60" s="10">
        <v>9500599.2389864996</v>
      </c>
      <c r="G60" s="10">
        <v>1653595.0537908999</v>
      </c>
      <c r="H60" s="10">
        <v>11154194.2927774</v>
      </c>
    </row>
    <row r="61" spans="1:34" x14ac:dyDescent="0.35">
      <c r="A61" t="s">
        <v>131</v>
      </c>
      <c r="B61" t="s">
        <v>132</v>
      </c>
      <c r="C61" t="s">
        <v>150</v>
      </c>
      <c r="D61" t="s">
        <v>140</v>
      </c>
      <c r="F61" s="10">
        <v>9281671.3012374006</v>
      </c>
      <c r="G61" s="10">
        <v>1799784.2545117999</v>
      </c>
      <c r="H61" s="10">
        <v>11081455.5557492</v>
      </c>
    </row>
    <row r="62" spans="1:34" x14ac:dyDescent="0.35">
      <c r="A62" t="s">
        <v>131</v>
      </c>
      <c r="B62" t="s">
        <v>132</v>
      </c>
      <c r="C62" t="s">
        <v>150</v>
      </c>
      <c r="D62" t="s">
        <v>141</v>
      </c>
      <c r="F62" s="10">
        <v>8910764.1792479996</v>
      </c>
      <c r="G62" s="10">
        <v>1819882.8151056999</v>
      </c>
      <c r="H62" s="10">
        <v>10730646.9943537</v>
      </c>
    </row>
    <row r="63" spans="1:34" x14ac:dyDescent="0.35">
      <c r="A63" t="s">
        <v>131</v>
      </c>
      <c r="B63" t="s">
        <v>132</v>
      </c>
      <c r="C63" t="s">
        <v>150</v>
      </c>
      <c r="D63" t="s">
        <v>142</v>
      </c>
      <c r="F63" s="10">
        <v>8631602.0620021001</v>
      </c>
      <c r="G63" s="10">
        <v>1613962.4644410999</v>
      </c>
      <c r="H63" s="10">
        <v>10245564.5264432</v>
      </c>
    </row>
    <row r="64" spans="1:34" x14ac:dyDescent="0.35">
      <c r="A64" t="s">
        <v>131</v>
      </c>
      <c r="B64" t="s">
        <v>132</v>
      </c>
      <c r="C64" t="s">
        <v>150</v>
      </c>
      <c r="D64" t="s">
        <v>143</v>
      </c>
      <c r="F64" s="10">
        <v>8985666.8478861991</v>
      </c>
      <c r="G64" s="10">
        <v>1481057.6546916999</v>
      </c>
      <c r="H64" s="10">
        <v>10466724.502577899</v>
      </c>
    </row>
    <row r="65" spans="1:8" x14ac:dyDescent="0.35">
      <c r="A65" t="s">
        <v>131</v>
      </c>
      <c r="B65" t="s">
        <v>132</v>
      </c>
      <c r="C65" t="s">
        <v>150</v>
      </c>
      <c r="D65" t="s">
        <v>144</v>
      </c>
      <c r="F65" s="10">
        <v>9358495.7068041991</v>
      </c>
      <c r="G65" s="10">
        <v>1884315.8242907999</v>
      </c>
      <c r="H65" s="10">
        <v>11242811.531094998</v>
      </c>
    </row>
    <row r="66" spans="1:8" x14ac:dyDescent="0.35">
      <c r="A66" t="s">
        <v>131</v>
      </c>
      <c r="B66" t="s">
        <v>132</v>
      </c>
      <c r="C66" t="s">
        <v>150</v>
      </c>
      <c r="D66" t="s">
        <v>145</v>
      </c>
      <c r="F66" s="10">
        <v>9704121.0085493997</v>
      </c>
      <c r="G66" s="10">
        <v>2041099.3622844</v>
      </c>
      <c r="H66" s="10">
        <v>11745220.370833799</v>
      </c>
    </row>
    <row r="67" spans="1:8" x14ac:dyDescent="0.35">
      <c r="A67" t="s">
        <v>131</v>
      </c>
      <c r="B67" t="s">
        <v>132</v>
      </c>
      <c r="C67" t="s">
        <v>151</v>
      </c>
      <c r="D67" t="s">
        <v>134</v>
      </c>
      <c r="F67" s="10">
        <v>37172286.863788299</v>
      </c>
      <c r="G67" s="10">
        <v>5374571.5328396</v>
      </c>
      <c r="H67" s="10">
        <v>42546858.396627903</v>
      </c>
    </row>
    <row r="68" spans="1:8" x14ac:dyDescent="0.35">
      <c r="A68" t="s">
        <v>131</v>
      </c>
      <c r="B68" t="s">
        <v>132</v>
      </c>
      <c r="C68" t="s">
        <v>151</v>
      </c>
      <c r="D68" t="s">
        <v>135</v>
      </c>
      <c r="F68" s="10">
        <v>39243345.22676</v>
      </c>
      <c r="G68" s="10">
        <v>5207707.1116933003</v>
      </c>
      <c r="H68" s="10">
        <v>44451052.3384533</v>
      </c>
    </row>
    <row r="69" spans="1:8" x14ac:dyDescent="0.35">
      <c r="A69" t="s">
        <v>131</v>
      </c>
      <c r="B69" t="s">
        <v>132</v>
      </c>
      <c r="C69" t="s">
        <v>151</v>
      </c>
      <c r="D69" t="s">
        <v>136</v>
      </c>
      <c r="F69" s="10">
        <v>36451843.252378799</v>
      </c>
      <c r="G69" s="10">
        <v>5306625.4426483</v>
      </c>
      <c r="H69" s="10">
        <v>41758468.695027098</v>
      </c>
    </row>
    <row r="70" spans="1:8" x14ac:dyDescent="0.35">
      <c r="A70" t="s">
        <v>131</v>
      </c>
      <c r="B70" t="s">
        <v>132</v>
      </c>
      <c r="C70" t="s">
        <v>151</v>
      </c>
      <c r="D70" t="s">
        <v>137</v>
      </c>
      <c r="F70" s="10">
        <v>32657806.266633801</v>
      </c>
      <c r="G70" s="10">
        <v>4685134.7302163001</v>
      </c>
      <c r="H70" s="10">
        <v>37342940.996850103</v>
      </c>
    </row>
    <row r="71" spans="1:8" x14ac:dyDescent="0.35">
      <c r="A71" t="s">
        <v>131</v>
      </c>
      <c r="B71" t="s">
        <v>132</v>
      </c>
      <c r="C71" t="s">
        <v>151</v>
      </c>
      <c r="D71" t="s">
        <v>138</v>
      </c>
      <c r="F71" s="10">
        <v>32286362.447482798</v>
      </c>
      <c r="G71" s="10">
        <v>4767348.1633623</v>
      </c>
      <c r="H71" s="10">
        <v>37053710.610845096</v>
      </c>
    </row>
    <row r="72" spans="1:8" x14ac:dyDescent="0.35">
      <c r="A72" t="s">
        <v>131</v>
      </c>
      <c r="B72" t="s">
        <v>132</v>
      </c>
      <c r="C72" t="s">
        <v>151</v>
      </c>
      <c r="D72" t="s">
        <v>139</v>
      </c>
      <c r="F72" s="10">
        <v>33566988.818469197</v>
      </c>
      <c r="G72" s="10">
        <v>4567596.3763384996</v>
      </c>
      <c r="H72" s="10">
        <v>38134585.194807693</v>
      </c>
    </row>
    <row r="73" spans="1:8" x14ac:dyDescent="0.35">
      <c r="A73" t="s">
        <v>131</v>
      </c>
      <c r="B73" t="s">
        <v>132</v>
      </c>
      <c r="C73" t="s">
        <v>151</v>
      </c>
      <c r="D73" t="s">
        <v>140</v>
      </c>
      <c r="F73" s="10">
        <v>34056905.629482798</v>
      </c>
      <c r="G73" s="10">
        <v>4827822.2616486</v>
      </c>
      <c r="H73" s="10">
        <v>38884727.891131401</v>
      </c>
    </row>
    <row r="74" spans="1:8" x14ac:dyDescent="0.35">
      <c r="A74" t="s">
        <v>131</v>
      </c>
      <c r="B74" t="s">
        <v>132</v>
      </c>
      <c r="C74" t="s">
        <v>151</v>
      </c>
      <c r="D74" t="s">
        <v>141</v>
      </c>
      <c r="F74" s="10">
        <v>34564569.620919198</v>
      </c>
      <c r="G74" s="10">
        <v>5027082.3664605999</v>
      </c>
      <c r="H74" s="10">
        <v>39591651.987379797</v>
      </c>
    </row>
    <row r="75" spans="1:8" x14ac:dyDescent="0.35">
      <c r="A75" t="s">
        <v>131</v>
      </c>
      <c r="B75" t="s">
        <v>132</v>
      </c>
      <c r="C75" t="s">
        <v>151</v>
      </c>
      <c r="D75" t="s">
        <v>142</v>
      </c>
      <c r="F75" s="10">
        <v>32763298.731312599</v>
      </c>
      <c r="G75" s="10">
        <v>5029783.8122019004</v>
      </c>
      <c r="H75" s="10">
        <v>37793082.543514498</v>
      </c>
    </row>
    <row r="76" spans="1:8" x14ac:dyDescent="0.35">
      <c r="A76" t="s">
        <v>131</v>
      </c>
      <c r="B76" t="s">
        <v>132</v>
      </c>
      <c r="C76" t="s">
        <v>151</v>
      </c>
      <c r="D76" t="s">
        <v>143</v>
      </c>
      <c r="F76" s="10">
        <v>33456974.002935901</v>
      </c>
      <c r="G76" s="10">
        <v>4680073.5926563004</v>
      </c>
      <c r="H76" s="10">
        <v>38137047.595592201</v>
      </c>
    </row>
    <row r="77" spans="1:8" x14ac:dyDescent="0.35">
      <c r="A77" t="s">
        <v>131</v>
      </c>
      <c r="B77" t="s">
        <v>132</v>
      </c>
      <c r="C77" t="s">
        <v>151</v>
      </c>
      <c r="D77" t="s">
        <v>144</v>
      </c>
      <c r="F77" s="10">
        <v>34017368.767037898</v>
      </c>
      <c r="G77" s="10">
        <v>4518411.9367212998</v>
      </c>
      <c r="H77" s="10">
        <v>38535780.703759201</v>
      </c>
    </row>
    <row r="78" spans="1:8" x14ac:dyDescent="0.35">
      <c r="A78" t="s">
        <v>131</v>
      </c>
      <c r="B78" t="s">
        <v>132</v>
      </c>
      <c r="C78" t="s">
        <v>151</v>
      </c>
      <c r="D78" t="s">
        <v>145</v>
      </c>
      <c r="F78" s="10">
        <v>30441754.785220001</v>
      </c>
      <c r="G78" s="10">
        <v>4393232.8572752997</v>
      </c>
      <c r="H78" s="10">
        <v>34834987.642495304</v>
      </c>
    </row>
    <row r="79" spans="1:8" x14ac:dyDescent="0.35">
      <c r="A79" t="s">
        <v>131</v>
      </c>
      <c r="B79" t="s">
        <v>132</v>
      </c>
      <c r="C79" t="s">
        <v>152</v>
      </c>
      <c r="D79" t="s">
        <v>134</v>
      </c>
      <c r="F79" s="10">
        <v>492687.18558440002</v>
      </c>
      <c r="G79" s="10">
        <v>860522.15280100005</v>
      </c>
      <c r="H79" s="10">
        <v>1353209.3383854001</v>
      </c>
    </row>
    <row r="80" spans="1:8" x14ac:dyDescent="0.35">
      <c r="A80" t="s">
        <v>131</v>
      </c>
      <c r="B80" t="s">
        <v>132</v>
      </c>
      <c r="C80" t="s">
        <v>152</v>
      </c>
      <c r="D80" t="s">
        <v>135</v>
      </c>
      <c r="F80" s="10">
        <v>505861.4295731</v>
      </c>
      <c r="G80" s="10">
        <v>874989.84601730003</v>
      </c>
      <c r="H80" s="10">
        <v>1380851.2755904</v>
      </c>
    </row>
    <row r="81" spans="1:8" x14ac:dyDescent="0.35">
      <c r="A81" t="s">
        <v>131</v>
      </c>
      <c r="B81" t="s">
        <v>132</v>
      </c>
      <c r="C81" t="s">
        <v>152</v>
      </c>
      <c r="D81" t="s">
        <v>136</v>
      </c>
      <c r="F81" s="10">
        <v>443169.66157280002</v>
      </c>
      <c r="G81" s="10">
        <v>758745.30516999995</v>
      </c>
      <c r="H81" s="10">
        <v>1201914.9667428001</v>
      </c>
    </row>
    <row r="82" spans="1:8" x14ac:dyDescent="0.35">
      <c r="A82" t="s">
        <v>131</v>
      </c>
      <c r="B82" t="s">
        <v>132</v>
      </c>
      <c r="C82" t="s">
        <v>152</v>
      </c>
      <c r="D82" t="s">
        <v>137</v>
      </c>
      <c r="F82" s="10">
        <v>428203.2737274</v>
      </c>
      <c r="G82" s="10">
        <v>775492.74992940004</v>
      </c>
      <c r="H82" s="10">
        <v>1203696.0236567999</v>
      </c>
    </row>
    <row r="83" spans="1:8" x14ac:dyDescent="0.35">
      <c r="A83" t="s">
        <v>131</v>
      </c>
      <c r="B83" t="s">
        <v>132</v>
      </c>
      <c r="C83" t="s">
        <v>152</v>
      </c>
      <c r="D83" t="s">
        <v>138</v>
      </c>
      <c r="F83" s="10">
        <v>359175.23930780002</v>
      </c>
      <c r="G83" s="10">
        <v>606601.39244810003</v>
      </c>
      <c r="H83" s="10">
        <v>965776.6317559001</v>
      </c>
    </row>
    <row r="84" spans="1:8" x14ac:dyDescent="0.35">
      <c r="A84" t="s">
        <v>131</v>
      </c>
      <c r="B84" t="s">
        <v>132</v>
      </c>
      <c r="C84" t="s">
        <v>152</v>
      </c>
      <c r="D84" t="s">
        <v>139</v>
      </c>
      <c r="F84" s="10">
        <v>344645.15486060001</v>
      </c>
      <c r="G84" s="10">
        <v>595550.49406689999</v>
      </c>
      <c r="H84" s="10">
        <v>940195.64892750001</v>
      </c>
    </row>
    <row r="85" spans="1:8" x14ac:dyDescent="0.35">
      <c r="A85" t="s">
        <v>131</v>
      </c>
      <c r="B85" t="s">
        <v>132</v>
      </c>
      <c r="C85" t="s">
        <v>152</v>
      </c>
      <c r="D85" t="s">
        <v>140</v>
      </c>
      <c r="F85" s="10">
        <v>359429.71414310002</v>
      </c>
      <c r="G85" s="10">
        <v>688744.66660790006</v>
      </c>
      <c r="H85" s="10">
        <v>1048174.380751</v>
      </c>
    </row>
    <row r="86" spans="1:8" x14ac:dyDescent="0.35">
      <c r="A86" t="s">
        <v>131</v>
      </c>
      <c r="B86" t="s">
        <v>132</v>
      </c>
      <c r="C86" t="s">
        <v>152</v>
      </c>
      <c r="D86" t="s">
        <v>141</v>
      </c>
      <c r="F86" s="10">
        <v>337526.21008789999</v>
      </c>
      <c r="G86" s="10">
        <v>684816.19430970005</v>
      </c>
      <c r="H86" s="10">
        <v>1022342.4043976001</v>
      </c>
    </row>
    <row r="87" spans="1:8" x14ac:dyDescent="0.35">
      <c r="A87" t="s">
        <v>131</v>
      </c>
      <c r="B87" t="s">
        <v>132</v>
      </c>
      <c r="C87" t="s">
        <v>152</v>
      </c>
      <c r="D87" t="s">
        <v>142</v>
      </c>
      <c r="F87" s="10">
        <v>333791.28795339999</v>
      </c>
      <c r="G87" s="10">
        <v>622461.99651319999</v>
      </c>
      <c r="H87" s="10">
        <v>956253.28446660005</v>
      </c>
    </row>
    <row r="88" spans="1:8" x14ac:dyDescent="0.35">
      <c r="A88" t="s">
        <v>131</v>
      </c>
      <c r="B88" t="s">
        <v>132</v>
      </c>
      <c r="C88" t="s">
        <v>152</v>
      </c>
      <c r="D88" t="s">
        <v>143</v>
      </c>
      <c r="F88" s="10">
        <v>379315.84116850002</v>
      </c>
      <c r="G88" s="10">
        <v>612999.31435340003</v>
      </c>
      <c r="H88" s="10">
        <v>992315.15552190004</v>
      </c>
    </row>
    <row r="89" spans="1:8" x14ac:dyDescent="0.35">
      <c r="A89" t="s">
        <v>131</v>
      </c>
      <c r="B89" t="s">
        <v>132</v>
      </c>
      <c r="C89" t="s">
        <v>152</v>
      </c>
      <c r="D89" t="s">
        <v>144</v>
      </c>
      <c r="F89" s="10">
        <v>396665.66389219998</v>
      </c>
      <c r="G89" s="10">
        <v>607550.85420379997</v>
      </c>
      <c r="H89" s="10">
        <v>1004216.518096</v>
      </c>
    </row>
    <row r="90" spans="1:8" x14ac:dyDescent="0.35">
      <c r="A90" t="s">
        <v>131</v>
      </c>
      <c r="B90" t="s">
        <v>132</v>
      </c>
      <c r="C90" t="s">
        <v>152</v>
      </c>
      <c r="D90" t="s">
        <v>145</v>
      </c>
      <c r="F90" s="10">
        <v>438124.5084167</v>
      </c>
      <c r="G90" s="10">
        <v>679080.7348488</v>
      </c>
      <c r="H90" s="10">
        <v>1117205.2432655001</v>
      </c>
    </row>
    <row r="91" spans="1:8" x14ac:dyDescent="0.35">
      <c r="A91" t="s">
        <v>131</v>
      </c>
      <c r="B91" t="s">
        <v>132</v>
      </c>
      <c r="C91" t="s">
        <v>153</v>
      </c>
      <c r="D91" t="s">
        <v>134</v>
      </c>
      <c r="F91" s="10">
        <v>59515832.187648401</v>
      </c>
      <c r="G91" s="10">
        <v>55599307.274406798</v>
      </c>
      <c r="H91" s="10">
        <v>115115139.46205521</v>
      </c>
    </row>
    <row r="92" spans="1:8" x14ac:dyDescent="0.35">
      <c r="A92" t="s">
        <v>131</v>
      </c>
      <c r="B92" t="s">
        <v>132</v>
      </c>
      <c r="C92" t="s">
        <v>153</v>
      </c>
      <c r="D92" t="s">
        <v>135</v>
      </c>
      <c r="F92" s="10">
        <v>63112544.522954702</v>
      </c>
      <c r="G92" s="10">
        <v>55846989.887441702</v>
      </c>
      <c r="H92" s="10">
        <v>118959534.4103964</v>
      </c>
    </row>
    <row r="93" spans="1:8" x14ac:dyDescent="0.35">
      <c r="A93" t="s">
        <v>131</v>
      </c>
      <c r="B93" t="s">
        <v>132</v>
      </c>
      <c r="C93" t="s">
        <v>153</v>
      </c>
      <c r="D93" t="s">
        <v>136</v>
      </c>
      <c r="F93" s="10">
        <v>59312705.438132398</v>
      </c>
      <c r="G93" s="10">
        <v>52851536.562580898</v>
      </c>
      <c r="H93" s="10">
        <v>112164242.00071329</v>
      </c>
    </row>
    <row r="94" spans="1:8" x14ac:dyDescent="0.35">
      <c r="A94" t="s">
        <v>131</v>
      </c>
      <c r="B94" t="s">
        <v>132</v>
      </c>
      <c r="C94" t="s">
        <v>153</v>
      </c>
      <c r="D94" t="s">
        <v>137</v>
      </c>
      <c r="F94" s="10">
        <v>54899913.993707702</v>
      </c>
      <c r="G94" s="10">
        <v>50905624.034052797</v>
      </c>
      <c r="H94" s="10">
        <v>105805538.02776051</v>
      </c>
    </row>
    <row r="95" spans="1:8" x14ac:dyDescent="0.35">
      <c r="A95" t="s">
        <v>131</v>
      </c>
      <c r="B95" t="s">
        <v>132</v>
      </c>
      <c r="C95" t="s">
        <v>153</v>
      </c>
      <c r="D95" t="s">
        <v>138</v>
      </c>
      <c r="F95" s="10">
        <v>57860474.498171099</v>
      </c>
      <c r="G95" s="10">
        <v>50837622.996183299</v>
      </c>
      <c r="H95" s="10">
        <v>108698097.4943544</v>
      </c>
    </row>
    <row r="96" spans="1:8" x14ac:dyDescent="0.35">
      <c r="A96" t="s">
        <v>131</v>
      </c>
      <c r="B96" t="s">
        <v>132</v>
      </c>
      <c r="C96" t="s">
        <v>153</v>
      </c>
      <c r="D96" t="s">
        <v>139</v>
      </c>
      <c r="F96" s="10">
        <v>61526718.256612301</v>
      </c>
      <c r="G96" s="10">
        <v>50508378.2109951</v>
      </c>
      <c r="H96" s="10">
        <v>112035096.46760741</v>
      </c>
    </row>
    <row r="97" spans="1:8" x14ac:dyDescent="0.35">
      <c r="A97" t="s">
        <v>131</v>
      </c>
      <c r="B97" t="s">
        <v>132</v>
      </c>
      <c r="C97" t="s">
        <v>153</v>
      </c>
      <c r="D97" t="s">
        <v>140</v>
      </c>
      <c r="F97" s="10">
        <v>60106175.614354402</v>
      </c>
      <c r="G97" s="10">
        <v>51882934.468808703</v>
      </c>
      <c r="H97" s="10">
        <v>111989110.08316311</v>
      </c>
    </row>
    <row r="98" spans="1:8" x14ac:dyDescent="0.35">
      <c r="A98" t="s">
        <v>131</v>
      </c>
      <c r="B98" t="s">
        <v>132</v>
      </c>
      <c r="C98" t="s">
        <v>153</v>
      </c>
      <c r="D98" t="s">
        <v>141</v>
      </c>
      <c r="F98" s="10">
        <v>60345165.786304697</v>
      </c>
      <c r="G98" s="10">
        <v>47980632.7432606</v>
      </c>
      <c r="H98" s="10">
        <v>108325798.5295653</v>
      </c>
    </row>
    <row r="99" spans="1:8" x14ac:dyDescent="0.35">
      <c r="A99" t="s">
        <v>131</v>
      </c>
      <c r="B99" t="s">
        <v>132</v>
      </c>
      <c r="C99" t="s">
        <v>153</v>
      </c>
      <c r="D99" t="s">
        <v>142</v>
      </c>
      <c r="F99" s="10">
        <v>56705424.468268499</v>
      </c>
      <c r="G99" s="10">
        <v>50201598.601666503</v>
      </c>
      <c r="H99" s="10">
        <v>106907023.06993499</v>
      </c>
    </row>
    <row r="100" spans="1:8" x14ac:dyDescent="0.35">
      <c r="A100" t="s">
        <v>131</v>
      </c>
      <c r="B100" t="s">
        <v>132</v>
      </c>
      <c r="C100" t="s">
        <v>153</v>
      </c>
      <c r="D100" t="s">
        <v>143</v>
      </c>
      <c r="F100" s="10">
        <v>53402128.568103798</v>
      </c>
      <c r="G100" s="10">
        <v>50874726.6774529</v>
      </c>
      <c r="H100" s="10">
        <v>104276855.2455567</v>
      </c>
    </row>
    <row r="101" spans="1:8" x14ac:dyDescent="0.35">
      <c r="A101" t="s">
        <v>131</v>
      </c>
      <c r="B101" t="s">
        <v>132</v>
      </c>
      <c r="C101" t="s">
        <v>153</v>
      </c>
      <c r="D101" t="s">
        <v>144</v>
      </c>
      <c r="F101" s="10">
        <v>51296230.068769</v>
      </c>
      <c r="G101" s="10">
        <v>48984351.001714498</v>
      </c>
      <c r="H101" s="10">
        <v>100280581.07048351</v>
      </c>
    </row>
    <row r="102" spans="1:8" x14ac:dyDescent="0.35">
      <c r="A102" t="s">
        <v>131</v>
      </c>
      <c r="B102" t="s">
        <v>132</v>
      </c>
      <c r="C102" t="s">
        <v>153</v>
      </c>
      <c r="D102" t="s">
        <v>145</v>
      </c>
      <c r="F102" s="10">
        <v>56010238.475719497</v>
      </c>
      <c r="G102" s="10">
        <v>51878855.134459503</v>
      </c>
      <c r="H102" s="10">
        <v>107889093.61017901</v>
      </c>
    </row>
    <row r="103" spans="1:8" x14ac:dyDescent="0.35">
      <c r="A103" t="s">
        <v>131</v>
      </c>
      <c r="B103" t="s">
        <v>132</v>
      </c>
      <c r="C103" t="s">
        <v>154</v>
      </c>
      <c r="D103" t="s">
        <v>134</v>
      </c>
      <c r="F103" s="10">
        <v>1281288.7478920999</v>
      </c>
      <c r="G103" s="10">
        <v>10494283.7661817</v>
      </c>
      <c r="H103" s="10">
        <v>11775572.5140738</v>
      </c>
    </row>
    <row r="104" spans="1:8" x14ac:dyDescent="0.35">
      <c r="A104" t="s">
        <v>131</v>
      </c>
      <c r="B104" t="s">
        <v>132</v>
      </c>
      <c r="C104" t="s">
        <v>154</v>
      </c>
      <c r="D104" t="s">
        <v>135</v>
      </c>
      <c r="F104" s="10">
        <v>1154070.3497961001</v>
      </c>
      <c r="G104" s="10">
        <v>9526299.4360150006</v>
      </c>
      <c r="H104" s="10">
        <v>10680369.7858111</v>
      </c>
    </row>
    <row r="105" spans="1:8" x14ac:dyDescent="0.35">
      <c r="A105" t="s">
        <v>131</v>
      </c>
      <c r="B105" t="s">
        <v>132</v>
      </c>
      <c r="C105" t="s">
        <v>154</v>
      </c>
      <c r="D105" t="s">
        <v>136</v>
      </c>
      <c r="F105" s="10">
        <v>1270093.7383973999</v>
      </c>
      <c r="G105" s="10">
        <v>10253543.199883301</v>
      </c>
      <c r="H105" s="10">
        <v>11523636.938280702</v>
      </c>
    </row>
    <row r="106" spans="1:8" x14ac:dyDescent="0.35">
      <c r="A106" t="s">
        <v>131</v>
      </c>
      <c r="B106" t="s">
        <v>132</v>
      </c>
      <c r="C106" t="s">
        <v>154</v>
      </c>
      <c r="D106" t="s">
        <v>137</v>
      </c>
      <c r="F106" s="10">
        <v>1230642.785312</v>
      </c>
      <c r="G106" s="10">
        <v>10086140.654908299</v>
      </c>
      <c r="H106" s="10">
        <v>11316783.4402203</v>
      </c>
    </row>
    <row r="107" spans="1:8" x14ac:dyDescent="0.35">
      <c r="A107" t="s">
        <v>131</v>
      </c>
      <c r="B107" t="s">
        <v>132</v>
      </c>
      <c r="C107" t="s">
        <v>154</v>
      </c>
      <c r="D107" t="s">
        <v>138</v>
      </c>
      <c r="F107" s="10">
        <v>1309922.2236810001</v>
      </c>
      <c r="G107" s="10">
        <v>9922802.7856468</v>
      </c>
      <c r="H107" s="10">
        <v>11232725.009327799</v>
      </c>
    </row>
    <row r="108" spans="1:8" x14ac:dyDescent="0.35">
      <c r="A108" t="s">
        <v>131</v>
      </c>
      <c r="B108" t="s">
        <v>132</v>
      </c>
      <c r="C108" t="s">
        <v>154</v>
      </c>
      <c r="D108" t="s">
        <v>139</v>
      </c>
      <c r="F108" s="10">
        <v>1119865.6861980001</v>
      </c>
      <c r="G108" s="10">
        <v>10094978.3283114</v>
      </c>
      <c r="H108" s="10">
        <v>11214844.0145094</v>
      </c>
    </row>
    <row r="109" spans="1:8" x14ac:dyDescent="0.35">
      <c r="A109" t="s">
        <v>131</v>
      </c>
      <c r="B109" t="s">
        <v>132</v>
      </c>
      <c r="C109" t="s">
        <v>154</v>
      </c>
      <c r="D109" t="s">
        <v>140</v>
      </c>
      <c r="F109" s="10">
        <v>1323251.5508134</v>
      </c>
      <c r="G109" s="10">
        <v>11188544.074028401</v>
      </c>
      <c r="H109" s="10">
        <v>12511795.6248418</v>
      </c>
    </row>
    <row r="110" spans="1:8" x14ac:dyDescent="0.35">
      <c r="A110" t="s">
        <v>131</v>
      </c>
      <c r="B110" t="s">
        <v>132</v>
      </c>
      <c r="C110" t="s">
        <v>154</v>
      </c>
      <c r="D110" t="s">
        <v>141</v>
      </c>
      <c r="F110" s="10">
        <v>1312914.0646027999</v>
      </c>
      <c r="G110" s="10">
        <v>10929883.431967201</v>
      </c>
      <c r="H110" s="10">
        <v>12242797.49657</v>
      </c>
    </row>
    <row r="111" spans="1:8" x14ac:dyDescent="0.35">
      <c r="A111" t="s">
        <v>131</v>
      </c>
      <c r="B111" t="s">
        <v>132</v>
      </c>
      <c r="C111" t="s">
        <v>154</v>
      </c>
      <c r="D111" t="s">
        <v>142</v>
      </c>
      <c r="F111" s="10">
        <v>1260400.7926834</v>
      </c>
      <c r="G111" s="10">
        <v>10495037.4518974</v>
      </c>
      <c r="H111" s="10">
        <v>11755438.2445808</v>
      </c>
    </row>
    <row r="112" spans="1:8" x14ac:dyDescent="0.35">
      <c r="A112" t="s">
        <v>131</v>
      </c>
      <c r="B112" t="s">
        <v>132</v>
      </c>
      <c r="C112" t="s">
        <v>154</v>
      </c>
      <c r="D112" t="s">
        <v>143</v>
      </c>
      <c r="F112" s="10">
        <v>1294003.0008355</v>
      </c>
      <c r="G112" s="10">
        <v>9824150.2032159008</v>
      </c>
      <c r="H112" s="10">
        <v>11118153.204051401</v>
      </c>
    </row>
    <row r="113" spans="1:8" x14ac:dyDescent="0.35">
      <c r="A113" t="s">
        <v>131</v>
      </c>
      <c r="B113" t="s">
        <v>132</v>
      </c>
      <c r="C113" t="s">
        <v>154</v>
      </c>
      <c r="D113" t="s">
        <v>144</v>
      </c>
      <c r="F113" s="10">
        <v>1303372.5872173</v>
      </c>
      <c r="G113" s="10">
        <v>9452863.2672624998</v>
      </c>
      <c r="H113" s="10">
        <v>10756235.854479799</v>
      </c>
    </row>
    <row r="114" spans="1:8" x14ac:dyDescent="0.35">
      <c r="A114" t="s">
        <v>131</v>
      </c>
      <c r="B114" t="s">
        <v>132</v>
      </c>
      <c r="C114" t="s">
        <v>154</v>
      </c>
      <c r="D114" t="s">
        <v>145</v>
      </c>
      <c r="F114" s="10">
        <v>1280464.4079523</v>
      </c>
      <c r="G114" s="10">
        <v>9627411.3132256996</v>
      </c>
      <c r="H114" s="10">
        <v>10907875.721177999</v>
      </c>
    </row>
    <row r="115" spans="1:8" x14ac:dyDescent="0.35">
      <c r="A115" t="s">
        <v>131</v>
      </c>
      <c r="B115" t="s">
        <v>132</v>
      </c>
      <c r="C115" t="s">
        <v>155</v>
      </c>
      <c r="D115" t="s">
        <v>134</v>
      </c>
      <c r="F115" s="10">
        <v>9828327.2383527998</v>
      </c>
      <c r="G115" s="10">
        <v>5227958.8657290004</v>
      </c>
      <c r="H115" s="10">
        <v>15056286.1040818</v>
      </c>
    </row>
    <row r="116" spans="1:8" x14ac:dyDescent="0.35">
      <c r="A116" t="s">
        <v>131</v>
      </c>
      <c r="B116" t="s">
        <v>132</v>
      </c>
      <c r="C116" t="s">
        <v>155</v>
      </c>
      <c r="D116" t="s">
        <v>135</v>
      </c>
      <c r="F116" s="10">
        <v>10229550.330840601</v>
      </c>
      <c r="G116" s="10">
        <v>5863266.4945150996</v>
      </c>
      <c r="H116" s="10">
        <v>16092816.825355701</v>
      </c>
    </row>
    <row r="117" spans="1:8" x14ac:dyDescent="0.35">
      <c r="A117" t="s">
        <v>131</v>
      </c>
      <c r="B117" t="s">
        <v>132</v>
      </c>
      <c r="C117" t="s">
        <v>155</v>
      </c>
      <c r="D117" t="s">
        <v>136</v>
      </c>
      <c r="F117" s="10">
        <v>8506869.2087692004</v>
      </c>
      <c r="G117" s="10">
        <v>5430320.3724990003</v>
      </c>
      <c r="H117" s="10">
        <v>13937189.581268201</v>
      </c>
    </row>
    <row r="118" spans="1:8" x14ac:dyDescent="0.35">
      <c r="A118" t="s">
        <v>131</v>
      </c>
      <c r="B118" t="s">
        <v>132</v>
      </c>
      <c r="C118" t="s">
        <v>155</v>
      </c>
      <c r="D118" t="s">
        <v>137</v>
      </c>
      <c r="F118" s="10">
        <v>7822491.4671323998</v>
      </c>
      <c r="G118" s="10">
        <v>4605085.741831</v>
      </c>
      <c r="H118" s="10">
        <v>12427577.2089634</v>
      </c>
    </row>
    <row r="119" spans="1:8" x14ac:dyDescent="0.35">
      <c r="A119" t="s">
        <v>131</v>
      </c>
      <c r="B119" t="s">
        <v>132</v>
      </c>
      <c r="C119" t="s">
        <v>155</v>
      </c>
      <c r="D119" t="s">
        <v>138</v>
      </c>
      <c r="F119" s="10">
        <v>7948960.3649824001</v>
      </c>
      <c r="G119" s="10">
        <v>4818754.9214601004</v>
      </c>
      <c r="H119" s="10">
        <v>12767715.2864425</v>
      </c>
    </row>
    <row r="120" spans="1:8" x14ac:dyDescent="0.35">
      <c r="A120" t="s">
        <v>131</v>
      </c>
      <c r="B120" t="s">
        <v>132</v>
      </c>
      <c r="C120" t="s">
        <v>155</v>
      </c>
      <c r="D120" t="s">
        <v>139</v>
      </c>
      <c r="F120" s="10">
        <v>8228248.4389653001</v>
      </c>
      <c r="G120" s="10">
        <v>4237112.9323628005</v>
      </c>
      <c r="H120" s="10">
        <v>12465361.371328101</v>
      </c>
    </row>
    <row r="121" spans="1:8" x14ac:dyDescent="0.35">
      <c r="A121" t="s">
        <v>131</v>
      </c>
      <c r="B121" t="s">
        <v>132</v>
      </c>
      <c r="C121" t="s">
        <v>155</v>
      </c>
      <c r="D121" t="s">
        <v>140</v>
      </c>
      <c r="F121" s="10">
        <v>7808954.3682356002</v>
      </c>
      <c r="G121" s="10">
        <v>4950209.1317822002</v>
      </c>
      <c r="H121" s="10">
        <v>12759163.500017799</v>
      </c>
    </row>
    <row r="122" spans="1:8" x14ac:dyDescent="0.35">
      <c r="A122" t="s">
        <v>131</v>
      </c>
      <c r="B122" t="s">
        <v>132</v>
      </c>
      <c r="C122" t="s">
        <v>155</v>
      </c>
      <c r="D122" t="s">
        <v>141</v>
      </c>
      <c r="F122" s="10">
        <v>7818543.1345908996</v>
      </c>
      <c r="G122" s="10">
        <v>5674150.0516392002</v>
      </c>
      <c r="H122" s="10">
        <v>13492693.186230101</v>
      </c>
    </row>
    <row r="123" spans="1:8" x14ac:dyDescent="0.35">
      <c r="A123" t="s">
        <v>131</v>
      </c>
      <c r="B123" t="s">
        <v>132</v>
      </c>
      <c r="C123" t="s">
        <v>155</v>
      </c>
      <c r="D123" t="s">
        <v>142</v>
      </c>
      <c r="F123" s="10">
        <v>7500270.6223453004</v>
      </c>
      <c r="G123" s="10">
        <v>4836167.3127706004</v>
      </c>
      <c r="H123" s="10">
        <v>12336437.9351159</v>
      </c>
    </row>
    <row r="124" spans="1:8" x14ac:dyDescent="0.35">
      <c r="A124" t="s">
        <v>131</v>
      </c>
      <c r="B124" t="s">
        <v>132</v>
      </c>
      <c r="C124" t="s">
        <v>155</v>
      </c>
      <c r="D124" t="s">
        <v>143</v>
      </c>
      <c r="F124" s="10">
        <v>7390445.9807342999</v>
      </c>
      <c r="G124" s="10">
        <v>4787936.1721483003</v>
      </c>
      <c r="H124" s="10">
        <v>12178382.1528826</v>
      </c>
    </row>
    <row r="125" spans="1:8" x14ac:dyDescent="0.35">
      <c r="A125" t="s">
        <v>131</v>
      </c>
      <c r="B125" t="s">
        <v>132</v>
      </c>
      <c r="C125" t="s">
        <v>155</v>
      </c>
      <c r="D125" t="s">
        <v>144</v>
      </c>
      <c r="F125" s="10">
        <v>7715756.4639304001</v>
      </c>
      <c r="G125" s="10">
        <v>4589326.3070823001</v>
      </c>
      <c r="H125" s="10">
        <v>12305082.771012701</v>
      </c>
    </row>
    <row r="126" spans="1:8" x14ac:dyDescent="0.35">
      <c r="A126" t="s">
        <v>131</v>
      </c>
      <c r="B126" t="s">
        <v>132</v>
      </c>
      <c r="C126" t="s">
        <v>155</v>
      </c>
      <c r="D126" t="s">
        <v>145</v>
      </c>
      <c r="F126" s="10">
        <v>8537164.2250436991</v>
      </c>
      <c r="G126" s="10">
        <v>4522383.6122936998</v>
      </c>
      <c r="H126" s="10">
        <v>13059547.837337399</v>
      </c>
    </row>
    <row r="127" spans="1:8" x14ac:dyDescent="0.35">
      <c r="A127" t="s">
        <v>131</v>
      </c>
      <c r="B127" t="s">
        <v>132</v>
      </c>
      <c r="C127" t="s">
        <v>156</v>
      </c>
      <c r="D127" t="s">
        <v>134</v>
      </c>
      <c r="F127" s="10">
        <v>573830.40213059995</v>
      </c>
      <c r="G127" s="10">
        <v>2469233.7484579999</v>
      </c>
      <c r="H127" s="10">
        <v>3043064.1505886</v>
      </c>
    </row>
    <row r="128" spans="1:8" x14ac:dyDescent="0.35">
      <c r="A128" t="s">
        <v>131</v>
      </c>
      <c r="B128" t="s">
        <v>132</v>
      </c>
      <c r="C128" t="s">
        <v>156</v>
      </c>
      <c r="D128" t="s">
        <v>135</v>
      </c>
      <c r="F128" s="10">
        <v>568762.63268319995</v>
      </c>
      <c r="G128" s="10">
        <v>2203364.6831402001</v>
      </c>
      <c r="H128" s="10">
        <v>2772127.3158233999</v>
      </c>
    </row>
    <row r="129" spans="1:8" x14ac:dyDescent="0.35">
      <c r="A129" t="s">
        <v>131</v>
      </c>
      <c r="B129" t="s">
        <v>132</v>
      </c>
      <c r="C129" t="s">
        <v>156</v>
      </c>
      <c r="D129" t="s">
        <v>136</v>
      </c>
      <c r="F129" s="10">
        <v>1227590.2811600999</v>
      </c>
      <c r="G129" s="10">
        <v>2296211.4155183001</v>
      </c>
      <c r="H129" s="10">
        <v>3523801.6966784</v>
      </c>
    </row>
    <row r="130" spans="1:8" x14ac:dyDescent="0.35">
      <c r="A130" t="s">
        <v>131</v>
      </c>
      <c r="B130" t="s">
        <v>132</v>
      </c>
      <c r="C130" t="s">
        <v>156</v>
      </c>
      <c r="D130" t="s">
        <v>137</v>
      </c>
      <c r="F130" s="10">
        <v>2562643.9699448999</v>
      </c>
      <c r="G130" s="10">
        <v>2158470.2461954001</v>
      </c>
      <c r="H130" s="10">
        <v>4721114.2161403</v>
      </c>
    </row>
    <row r="131" spans="1:8" x14ac:dyDescent="0.35">
      <c r="A131" t="s">
        <v>131</v>
      </c>
      <c r="B131" t="s">
        <v>132</v>
      </c>
      <c r="C131" t="s">
        <v>156</v>
      </c>
      <c r="D131" t="s">
        <v>138</v>
      </c>
      <c r="F131" s="10">
        <v>366993.38385560003</v>
      </c>
      <c r="G131" s="10">
        <v>2326062.9088280001</v>
      </c>
      <c r="H131" s="10">
        <v>2693056.2926836</v>
      </c>
    </row>
    <row r="132" spans="1:8" x14ac:dyDescent="0.35">
      <c r="A132" t="s">
        <v>131</v>
      </c>
      <c r="B132" t="s">
        <v>132</v>
      </c>
      <c r="C132" t="s">
        <v>156</v>
      </c>
      <c r="D132" t="s">
        <v>139</v>
      </c>
      <c r="F132" s="10">
        <v>115273.2206205</v>
      </c>
      <c r="G132" s="10">
        <v>2248552.1353523</v>
      </c>
      <c r="H132" s="10">
        <v>2363825.3559727999</v>
      </c>
    </row>
    <row r="133" spans="1:8" x14ac:dyDescent="0.35">
      <c r="A133" t="s">
        <v>131</v>
      </c>
      <c r="B133" t="s">
        <v>132</v>
      </c>
      <c r="C133" t="s">
        <v>156</v>
      </c>
      <c r="D133" t="s">
        <v>140</v>
      </c>
      <c r="F133" s="10">
        <v>115724.3027135</v>
      </c>
      <c r="G133" s="10">
        <v>2497598.0268573002</v>
      </c>
      <c r="H133" s="10">
        <v>2613322.3295708001</v>
      </c>
    </row>
    <row r="134" spans="1:8" x14ac:dyDescent="0.35">
      <c r="A134" t="s">
        <v>131</v>
      </c>
      <c r="B134" t="s">
        <v>132</v>
      </c>
      <c r="C134" t="s">
        <v>156</v>
      </c>
      <c r="D134" t="s">
        <v>141</v>
      </c>
      <c r="F134" s="10">
        <v>160118.36412789999</v>
      </c>
      <c r="G134" s="10">
        <v>2284376.5824777</v>
      </c>
      <c r="H134" s="10">
        <v>2444494.9466056</v>
      </c>
    </row>
    <row r="135" spans="1:8" x14ac:dyDescent="0.35">
      <c r="A135" t="s">
        <v>131</v>
      </c>
      <c r="B135" t="s">
        <v>132</v>
      </c>
      <c r="C135" t="s">
        <v>156</v>
      </c>
      <c r="D135" t="s">
        <v>142</v>
      </c>
      <c r="F135" s="10">
        <v>107223.7554406</v>
      </c>
      <c r="G135" s="10">
        <v>2235087.5915552001</v>
      </c>
      <c r="H135" s="10">
        <v>2342311.3469958003</v>
      </c>
    </row>
    <row r="136" spans="1:8" x14ac:dyDescent="0.35">
      <c r="A136" t="s">
        <v>131</v>
      </c>
      <c r="B136" t="s">
        <v>132</v>
      </c>
      <c r="C136" t="s">
        <v>156</v>
      </c>
      <c r="D136" t="s">
        <v>143</v>
      </c>
      <c r="F136" s="10">
        <v>20915.351638299999</v>
      </c>
      <c r="G136" s="10">
        <v>2298011.6489634998</v>
      </c>
      <c r="H136" s="10">
        <v>2318927.0006017997</v>
      </c>
    </row>
    <row r="137" spans="1:8" x14ac:dyDescent="0.35">
      <c r="A137" t="s">
        <v>131</v>
      </c>
      <c r="B137" t="s">
        <v>132</v>
      </c>
      <c r="C137" t="s">
        <v>156</v>
      </c>
      <c r="D137" t="s">
        <v>144</v>
      </c>
      <c r="F137" s="10">
        <v>12151.4037262</v>
      </c>
      <c r="G137" s="10">
        <v>2108580.0220086002</v>
      </c>
      <c r="H137" s="10">
        <v>2120731.4257348003</v>
      </c>
    </row>
    <row r="138" spans="1:8" x14ac:dyDescent="0.35">
      <c r="A138" t="s">
        <v>131</v>
      </c>
      <c r="B138" t="s">
        <v>132</v>
      </c>
      <c r="C138" t="s">
        <v>156</v>
      </c>
      <c r="D138" t="s">
        <v>145</v>
      </c>
      <c r="F138" s="10">
        <v>113154.74055469999</v>
      </c>
      <c r="G138" s="10">
        <v>2137867.2272323999</v>
      </c>
      <c r="H138" s="10">
        <v>2251021.9677871</v>
      </c>
    </row>
    <row r="139" spans="1:8" x14ac:dyDescent="0.35">
      <c r="A139" t="s">
        <v>131</v>
      </c>
      <c r="B139" t="s">
        <v>132</v>
      </c>
      <c r="C139" t="s">
        <v>157</v>
      </c>
      <c r="D139" t="s">
        <v>134</v>
      </c>
      <c r="G139" s="10">
        <v>19550333</v>
      </c>
      <c r="H139" s="10">
        <v>19550333</v>
      </c>
    </row>
    <row r="140" spans="1:8" x14ac:dyDescent="0.35">
      <c r="A140" t="s">
        <v>131</v>
      </c>
      <c r="B140" t="s">
        <v>132</v>
      </c>
      <c r="C140" t="s">
        <v>157</v>
      </c>
      <c r="D140" t="s">
        <v>135</v>
      </c>
      <c r="G140" s="10">
        <v>19563590</v>
      </c>
      <c r="H140" s="10">
        <v>19563590</v>
      </c>
    </row>
    <row r="141" spans="1:8" x14ac:dyDescent="0.35">
      <c r="A141" t="s">
        <v>131</v>
      </c>
      <c r="B141" t="s">
        <v>132</v>
      </c>
      <c r="C141" t="s">
        <v>157</v>
      </c>
      <c r="D141" t="s">
        <v>136</v>
      </c>
      <c r="G141" s="10">
        <v>17774818</v>
      </c>
      <c r="H141" s="10">
        <v>17774818</v>
      </c>
    </row>
    <row r="142" spans="1:8" x14ac:dyDescent="0.35">
      <c r="A142" t="s">
        <v>131</v>
      </c>
      <c r="B142" t="s">
        <v>132</v>
      </c>
      <c r="C142" t="s">
        <v>157</v>
      </c>
      <c r="D142" t="s">
        <v>137</v>
      </c>
      <c r="G142" s="10">
        <v>20847817</v>
      </c>
      <c r="H142" s="10">
        <v>20847817</v>
      </c>
    </row>
    <row r="143" spans="1:8" x14ac:dyDescent="0.35">
      <c r="A143" t="s">
        <v>131</v>
      </c>
      <c r="B143" t="s">
        <v>132</v>
      </c>
      <c r="C143" t="s">
        <v>157</v>
      </c>
      <c r="D143" t="s">
        <v>138</v>
      </c>
      <c r="G143" s="10">
        <v>16022267</v>
      </c>
      <c r="H143" s="10">
        <v>16022267</v>
      </c>
    </row>
    <row r="144" spans="1:8" x14ac:dyDescent="0.35">
      <c r="A144" t="s">
        <v>131</v>
      </c>
      <c r="B144" t="s">
        <v>132</v>
      </c>
      <c r="C144" t="s">
        <v>157</v>
      </c>
      <c r="D144" t="s">
        <v>139</v>
      </c>
      <c r="G144" s="10">
        <v>16879061</v>
      </c>
      <c r="H144" s="10">
        <v>16879061</v>
      </c>
    </row>
    <row r="145" spans="1:8" x14ac:dyDescent="0.35">
      <c r="A145" t="s">
        <v>131</v>
      </c>
      <c r="B145" t="s">
        <v>132</v>
      </c>
      <c r="C145" t="s">
        <v>157</v>
      </c>
      <c r="D145" t="s">
        <v>140</v>
      </c>
      <c r="G145" s="10">
        <v>16849481</v>
      </c>
      <c r="H145" s="10">
        <v>16849481</v>
      </c>
    </row>
    <row r="146" spans="1:8" x14ac:dyDescent="0.35">
      <c r="A146" t="s">
        <v>131</v>
      </c>
      <c r="B146" t="s">
        <v>132</v>
      </c>
      <c r="C146" t="s">
        <v>157</v>
      </c>
      <c r="D146" t="s">
        <v>141</v>
      </c>
      <c r="G146" s="10">
        <v>15796898</v>
      </c>
      <c r="H146" s="10">
        <v>15796898</v>
      </c>
    </row>
    <row r="147" spans="1:8" x14ac:dyDescent="0.35">
      <c r="A147" t="s">
        <v>131</v>
      </c>
      <c r="B147" t="s">
        <v>132</v>
      </c>
      <c r="C147" t="s">
        <v>157</v>
      </c>
      <c r="D147" t="s">
        <v>142</v>
      </c>
      <c r="G147" s="10">
        <v>18599735</v>
      </c>
      <c r="H147" s="10">
        <v>18599735</v>
      </c>
    </row>
    <row r="148" spans="1:8" x14ac:dyDescent="0.35">
      <c r="A148" t="s">
        <v>131</v>
      </c>
      <c r="B148" t="s">
        <v>132</v>
      </c>
      <c r="C148" t="s">
        <v>157</v>
      </c>
      <c r="D148" t="s">
        <v>143</v>
      </c>
      <c r="G148" s="10">
        <v>17397093</v>
      </c>
      <c r="H148" s="10">
        <v>17397093</v>
      </c>
    </row>
    <row r="149" spans="1:8" x14ac:dyDescent="0.35">
      <c r="A149" t="s">
        <v>131</v>
      </c>
      <c r="B149" t="s">
        <v>132</v>
      </c>
      <c r="C149" t="s">
        <v>157</v>
      </c>
      <c r="D149" t="s">
        <v>144</v>
      </c>
      <c r="G149" s="10">
        <v>18931468</v>
      </c>
      <c r="H149" s="10">
        <v>18931468</v>
      </c>
    </row>
    <row r="150" spans="1:8" x14ac:dyDescent="0.35">
      <c r="A150" t="s">
        <v>131</v>
      </c>
      <c r="B150" t="s">
        <v>132</v>
      </c>
      <c r="C150" t="s">
        <v>157</v>
      </c>
      <c r="D150" t="s">
        <v>145</v>
      </c>
      <c r="G150" s="10">
        <v>19090934</v>
      </c>
      <c r="H150" s="10">
        <v>19090934</v>
      </c>
    </row>
    <row r="151" spans="1:8" x14ac:dyDescent="0.35">
      <c r="A151" t="s">
        <v>131</v>
      </c>
      <c r="B151" t="s">
        <v>132</v>
      </c>
      <c r="C151" t="s">
        <v>158</v>
      </c>
      <c r="D151" t="s">
        <v>134</v>
      </c>
      <c r="E151" s="10">
        <v>989831089.41351914</v>
      </c>
      <c r="H151" s="10">
        <v>989831089.41351914</v>
      </c>
    </row>
    <row r="152" spans="1:8" x14ac:dyDescent="0.35">
      <c r="A152" t="s">
        <v>131</v>
      </c>
      <c r="B152" t="s">
        <v>132</v>
      </c>
      <c r="C152" t="s">
        <v>158</v>
      </c>
      <c r="D152" t="s">
        <v>135</v>
      </c>
      <c r="E152" s="10">
        <v>1063944671.97201</v>
      </c>
      <c r="H152" s="10">
        <v>1063944671.97201</v>
      </c>
    </row>
    <row r="153" spans="1:8" x14ac:dyDescent="0.35">
      <c r="A153" t="s">
        <v>131</v>
      </c>
      <c r="B153" t="s">
        <v>132</v>
      </c>
      <c r="C153" t="s">
        <v>158</v>
      </c>
      <c r="D153" t="s">
        <v>136</v>
      </c>
      <c r="E153" s="10">
        <v>924989212.84257317</v>
      </c>
      <c r="H153" s="10">
        <v>924989212.84257317</v>
      </c>
    </row>
    <row r="154" spans="1:8" x14ac:dyDescent="0.35">
      <c r="A154" t="s">
        <v>131</v>
      </c>
      <c r="B154" t="s">
        <v>132</v>
      </c>
      <c r="C154" t="s">
        <v>158</v>
      </c>
      <c r="D154" t="s">
        <v>137</v>
      </c>
      <c r="E154" s="10">
        <v>602699261.40076089</v>
      </c>
      <c r="H154" s="10">
        <v>602699261.40076089</v>
      </c>
    </row>
    <row r="155" spans="1:8" x14ac:dyDescent="0.35">
      <c r="A155" t="s">
        <v>131</v>
      </c>
      <c r="B155" t="s">
        <v>132</v>
      </c>
      <c r="C155" t="s">
        <v>158</v>
      </c>
      <c r="D155" t="s">
        <v>138</v>
      </c>
      <c r="E155" s="10">
        <v>519227040.08051598</v>
      </c>
      <c r="H155" s="10">
        <v>519227040.08051598</v>
      </c>
    </row>
    <row r="156" spans="1:8" x14ac:dyDescent="0.35">
      <c r="A156" t="s">
        <v>131</v>
      </c>
      <c r="B156" t="s">
        <v>132</v>
      </c>
      <c r="C156" t="s">
        <v>158</v>
      </c>
      <c r="D156" t="s">
        <v>139</v>
      </c>
      <c r="E156" s="10">
        <v>591603252.29704201</v>
      </c>
      <c r="H156" s="10">
        <v>591603252.29704201</v>
      </c>
    </row>
    <row r="157" spans="1:8" x14ac:dyDescent="0.35">
      <c r="A157" t="s">
        <v>131</v>
      </c>
      <c r="B157" t="s">
        <v>132</v>
      </c>
      <c r="C157" t="s">
        <v>158</v>
      </c>
      <c r="D157" t="s">
        <v>140</v>
      </c>
      <c r="E157" s="10">
        <v>685345798.73497999</v>
      </c>
      <c r="H157" s="10">
        <v>685345798.73497999</v>
      </c>
    </row>
    <row r="158" spans="1:8" x14ac:dyDescent="0.35">
      <c r="A158" t="s">
        <v>131</v>
      </c>
      <c r="B158" t="s">
        <v>132</v>
      </c>
      <c r="C158" t="s">
        <v>158</v>
      </c>
      <c r="D158" t="s">
        <v>141</v>
      </c>
      <c r="E158" s="10">
        <v>633079596.04284585</v>
      </c>
      <c r="H158" s="10">
        <v>633079596.04284585</v>
      </c>
    </row>
    <row r="159" spans="1:8" x14ac:dyDescent="0.35">
      <c r="A159" t="s">
        <v>131</v>
      </c>
      <c r="B159" t="s">
        <v>132</v>
      </c>
      <c r="C159" t="s">
        <v>158</v>
      </c>
      <c r="D159" t="s">
        <v>142</v>
      </c>
      <c r="E159" s="10">
        <v>577749241.78182817</v>
      </c>
      <c r="H159" s="10">
        <v>577749241.78182817</v>
      </c>
    </row>
    <row r="160" spans="1:8" x14ac:dyDescent="0.35">
      <c r="A160" t="s">
        <v>131</v>
      </c>
      <c r="B160" t="s">
        <v>132</v>
      </c>
      <c r="C160" t="s">
        <v>158</v>
      </c>
      <c r="D160" t="s">
        <v>143</v>
      </c>
      <c r="E160" s="10">
        <v>512580185.01475298</v>
      </c>
      <c r="H160" s="10">
        <v>512580185.01475298</v>
      </c>
    </row>
    <row r="161" spans="1:8" x14ac:dyDescent="0.35">
      <c r="A161" t="s">
        <v>131</v>
      </c>
      <c r="B161" t="s">
        <v>132</v>
      </c>
      <c r="C161" t="s">
        <v>158</v>
      </c>
      <c r="D161" t="s">
        <v>144</v>
      </c>
      <c r="E161" s="10">
        <v>497167744.412727</v>
      </c>
      <c r="H161" s="10">
        <v>497167744.412727</v>
      </c>
    </row>
    <row r="162" spans="1:8" x14ac:dyDescent="0.35">
      <c r="A162" t="s">
        <v>131</v>
      </c>
      <c r="B162" t="s">
        <v>132</v>
      </c>
      <c r="C162" t="s">
        <v>158</v>
      </c>
      <c r="D162" t="s">
        <v>145</v>
      </c>
      <c r="E162" s="10">
        <v>674986924.24162102</v>
      </c>
      <c r="H162" s="10">
        <v>674986924.24162102</v>
      </c>
    </row>
    <row r="163" spans="1:8" x14ac:dyDescent="0.35">
      <c r="A163" t="s">
        <v>131</v>
      </c>
      <c r="B163" t="s">
        <v>132</v>
      </c>
      <c r="C163" t="s">
        <v>159</v>
      </c>
      <c r="D163" t="s">
        <v>134</v>
      </c>
      <c r="E163" s="10">
        <v>63273502.197957501</v>
      </c>
      <c r="H163" s="10">
        <v>63273502.197957501</v>
      </c>
    </row>
    <row r="164" spans="1:8" x14ac:dyDescent="0.35">
      <c r="A164" t="s">
        <v>131</v>
      </c>
      <c r="B164" t="s">
        <v>132</v>
      </c>
      <c r="C164" t="s">
        <v>159</v>
      </c>
      <c r="D164" t="s">
        <v>135</v>
      </c>
      <c r="E164" s="10">
        <v>68194800.535864606</v>
      </c>
      <c r="H164" s="10">
        <v>68194800.535864606</v>
      </c>
    </row>
    <row r="165" spans="1:8" x14ac:dyDescent="0.35">
      <c r="A165" t="s">
        <v>131</v>
      </c>
      <c r="B165" t="s">
        <v>132</v>
      </c>
      <c r="C165" t="s">
        <v>159</v>
      </c>
      <c r="D165" t="s">
        <v>136</v>
      </c>
      <c r="E165" s="10">
        <v>62201617.000900097</v>
      </c>
      <c r="H165" s="10">
        <v>62201617.000900097</v>
      </c>
    </row>
    <row r="166" spans="1:8" x14ac:dyDescent="0.35">
      <c r="A166" t="s">
        <v>131</v>
      </c>
      <c r="B166" t="s">
        <v>132</v>
      </c>
      <c r="C166" t="s">
        <v>159</v>
      </c>
      <c r="D166" t="s">
        <v>137</v>
      </c>
      <c r="E166" s="10">
        <v>46343891.033477202</v>
      </c>
      <c r="H166" s="10">
        <v>46343891.033477202</v>
      </c>
    </row>
    <row r="167" spans="1:8" x14ac:dyDescent="0.35">
      <c r="A167" t="s">
        <v>131</v>
      </c>
      <c r="B167" t="s">
        <v>132</v>
      </c>
      <c r="C167" t="s">
        <v>159</v>
      </c>
      <c r="D167" t="s">
        <v>138</v>
      </c>
      <c r="E167" s="10">
        <v>55812508.562915199</v>
      </c>
      <c r="H167" s="10">
        <v>55812508.562915199</v>
      </c>
    </row>
    <row r="168" spans="1:8" x14ac:dyDescent="0.35">
      <c r="A168" t="s">
        <v>131</v>
      </c>
      <c r="B168" t="s">
        <v>132</v>
      </c>
      <c r="C168" t="s">
        <v>159</v>
      </c>
      <c r="D168" t="s">
        <v>139</v>
      </c>
      <c r="E168" s="10">
        <v>87915276.516503707</v>
      </c>
      <c r="H168" s="10">
        <v>87915276.516503707</v>
      </c>
    </row>
    <row r="169" spans="1:8" x14ac:dyDescent="0.35">
      <c r="A169" t="s">
        <v>131</v>
      </c>
      <c r="B169" t="s">
        <v>132</v>
      </c>
      <c r="C169" t="s">
        <v>159</v>
      </c>
      <c r="D169" t="s">
        <v>140</v>
      </c>
      <c r="E169" s="10">
        <v>118687177.953556</v>
      </c>
      <c r="H169" s="10">
        <v>118687177.953556</v>
      </c>
    </row>
    <row r="170" spans="1:8" x14ac:dyDescent="0.35">
      <c r="A170" t="s">
        <v>131</v>
      </c>
      <c r="B170" t="s">
        <v>132</v>
      </c>
      <c r="C170" t="s">
        <v>159</v>
      </c>
      <c r="D170" t="s">
        <v>141</v>
      </c>
      <c r="E170" s="10">
        <v>117646843.30223399</v>
      </c>
      <c r="H170" s="10">
        <v>117646843.30223399</v>
      </c>
    </row>
    <row r="171" spans="1:8" x14ac:dyDescent="0.35">
      <c r="A171" t="s">
        <v>131</v>
      </c>
      <c r="B171" t="s">
        <v>132</v>
      </c>
      <c r="C171" t="s">
        <v>159</v>
      </c>
      <c r="D171" t="s">
        <v>142</v>
      </c>
      <c r="E171" s="10">
        <v>108517006.3549581</v>
      </c>
      <c r="H171" s="10">
        <v>108517006.3549581</v>
      </c>
    </row>
    <row r="172" spans="1:8" x14ac:dyDescent="0.35">
      <c r="A172" t="s">
        <v>131</v>
      </c>
      <c r="B172" t="s">
        <v>132</v>
      </c>
      <c r="C172" t="s">
        <v>159</v>
      </c>
      <c r="D172" t="s">
        <v>143</v>
      </c>
      <c r="E172" s="10">
        <v>82424790.529413193</v>
      </c>
      <c r="H172" s="10">
        <v>82424790.529413193</v>
      </c>
    </row>
    <row r="173" spans="1:8" x14ac:dyDescent="0.35">
      <c r="A173" t="s">
        <v>131</v>
      </c>
      <c r="B173" t="s">
        <v>132</v>
      </c>
      <c r="C173" t="s">
        <v>159</v>
      </c>
      <c r="D173" t="s">
        <v>144</v>
      </c>
      <c r="E173" s="10">
        <v>59265826.103557602</v>
      </c>
      <c r="H173" s="10">
        <v>59265826.103557602</v>
      </c>
    </row>
    <row r="174" spans="1:8" x14ac:dyDescent="0.35">
      <c r="A174" t="s">
        <v>131</v>
      </c>
      <c r="B174" t="s">
        <v>132</v>
      </c>
      <c r="C174" t="s">
        <v>159</v>
      </c>
      <c r="D174" t="s">
        <v>145</v>
      </c>
      <c r="E174" s="10">
        <v>54357110.842777602</v>
      </c>
      <c r="H174" s="10">
        <v>54357110.842777602</v>
      </c>
    </row>
    <row r="175" spans="1:8" x14ac:dyDescent="0.35">
      <c r="A175" t="s">
        <v>131</v>
      </c>
      <c r="B175" t="s">
        <v>132</v>
      </c>
      <c r="C175" t="s">
        <v>160</v>
      </c>
      <c r="D175" t="s">
        <v>134</v>
      </c>
      <c r="E175" s="10">
        <v>1163846.6538702999</v>
      </c>
      <c r="H175" s="10">
        <v>1163846.6538702999</v>
      </c>
    </row>
    <row r="176" spans="1:8" x14ac:dyDescent="0.35">
      <c r="A176" t="s">
        <v>131</v>
      </c>
      <c r="B176" t="s">
        <v>132</v>
      </c>
      <c r="C176" t="s">
        <v>160</v>
      </c>
      <c r="D176" t="s">
        <v>135</v>
      </c>
      <c r="E176" s="10">
        <v>1146384.4650844999</v>
      </c>
      <c r="H176" s="10">
        <v>1146384.4650844999</v>
      </c>
    </row>
    <row r="177" spans="1:8" x14ac:dyDescent="0.35">
      <c r="A177" t="s">
        <v>131</v>
      </c>
      <c r="B177" t="s">
        <v>132</v>
      </c>
      <c r="C177" t="s">
        <v>160</v>
      </c>
      <c r="D177" t="s">
        <v>136</v>
      </c>
      <c r="E177" s="10">
        <v>1060651.9587516</v>
      </c>
      <c r="H177" s="10">
        <v>1060651.9587516</v>
      </c>
    </row>
    <row r="178" spans="1:8" x14ac:dyDescent="0.35">
      <c r="A178" t="s">
        <v>131</v>
      </c>
      <c r="B178" t="s">
        <v>132</v>
      </c>
      <c r="C178" t="s">
        <v>160</v>
      </c>
      <c r="D178" t="s">
        <v>137</v>
      </c>
      <c r="E178" s="10">
        <v>824410.58243039995</v>
      </c>
      <c r="H178" s="10">
        <v>824410.58243039995</v>
      </c>
    </row>
    <row r="179" spans="1:8" x14ac:dyDescent="0.35">
      <c r="A179" t="s">
        <v>131</v>
      </c>
      <c r="B179" t="s">
        <v>132</v>
      </c>
      <c r="C179" t="s">
        <v>160</v>
      </c>
      <c r="D179" t="s">
        <v>138</v>
      </c>
      <c r="E179" s="10">
        <v>992927.60729209997</v>
      </c>
      <c r="H179" s="10">
        <v>992927.60729209997</v>
      </c>
    </row>
    <row r="180" spans="1:8" x14ac:dyDescent="0.35">
      <c r="A180" t="s">
        <v>131</v>
      </c>
      <c r="B180" t="s">
        <v>132</v>
      </c>
      <c r="C180" t="s">
        <v>160</v>
      </c>
      <c r="D180" t="s">
        <v>139</v>
      </c>
      <c r="E180" s="10">
        <v>1377503.3132487</v>
      </c>
      <c r="H180" s="10">
        <v>1377503.3132487</v>
      </c>
    </row>
    <row r="181" spans="1:8" x14ac:dyDescent="0.35">
      <c r="A181" t="s">
        <v>131</v>
      </c>
      <c r="B181" t="s">
        <v>132</v>
      </c>
      <c r="C181" t="s">
        <v>160</v>
      </c>
      <c r="D181" t="s">
        <v>140</v>
      </c>
      <c r="E181" s="10">
        <v>1704215.7249571001</v>
      </c>
      <c r="H181" s="10">
        <v>1704215.7249571001</v>
      </c>
    </row>
    <row r="182" spans="1:8" x14ac:dyDescent="0.35">
      <c r="A182" t="s">
        <v>131</v>
      </c>
      <c r="B182" t="s">
        <v>132</v>
      </c>
      <c r="C182" t="s">
        <v>160</v>
      </c>
      <c r="D182" t="s">
        <v>141</v>
      </c>
      <c r="E182" s="10">
        <v>1677275.1250760001</v>
      </c>
      <c r="H182" s="10">
        <v>1677275.1250760001</v>
      </c>
    </row>
    <row r="183" spans="1:8" x14ac:dyDescent="0.35">
      <c r="A183" t="s">
        <v>131</v>
      </c>
      <c r="B183" t="s">
        <v>132</v>
      </c>
      <c r="C183" t="s">
        <v>160</v>
      </c>
      <c r="D183" t="s">
        <v>142</v>
      </c>
      <c r="E183" s="10">
        <v>1430432.9369979999</v>
      </c>
      <c r="H183" s="10">
        <v>1430432.9369979999</v>
      </c>
    </row>
    <row r="184" spans="1:8" x14ac:dyDescent="0.35">
      <c r="A184" t="s">
        <v>131</v>
      </c>
      <c r="B184" t="s">
        <v>132</v>
      </c>
      <c r="C184" t="s">
        <v>160</v>
      </c>
      <c r="D184" t="s">
        <v>143</v>
      </c>
      <c r="E184" s="10">
        <v>1115392.8399745999</v>
      </c>
      <c r="H184" s="10">
        <v>1115392.8399745999</v>
      </c>
    </row>
    <row r="185" spans="1:8" x14ac:dyDescent="0.35">
      <c r="A185" t="s">
        <v>131</v>
      </c>
      <c r="B185" t="s">
        <v>132</v>
      </c>
      <c r="C185" t="s">
        <v>160</v>
      </c>
      <c r="D185" t="s">
        <v>144</v>
      </c>
      <c r="E185" s="10">
        <v>929701.10558860004</v>
      </c>
      <c r="H185" s="10">
        <v>929701.10558860004</v>
      </c>
    </row>
    <row r="186" spans="1:8" x14ac:dyDescent="0.35">
      <c r="A186" t="s">
        <v>131</v>
      </c>
      <c r="B186" t="s">
        <v>132</v>
      </c>
      <c r="C186" t="s">
        <v>160</v>
      </c>
      <c r="D186" t="s">
        <v>145</v>
      </c>
      <c r="E186" s="10">
        <v>974743.92465649999</v>
      </c>
      <c r="H186" s="10">
        <v>974743.92465649999</v>
      </c>
    </row>
    <row r="187" spans="1:8" x14ac:dyDescent="0.35">
      <c r="A187" t="s">
        <v>131</v>
      </c>
      <c r="B187" t="s">
        <v>132</v>
      </c>
      <c r="C187" t="s">
        <v>161</v>
      </c>
      <c r="D187" t="s">
        <v>134</v>
      </c>
      <c r="E187" s="10">
        <v>11019435.830941699</v>
      </c>
      <c r="H187" s="10">
        <v>11019435.830941699</v>
      </c>
    </row>
    <row r="188" spans="1:8" x14ac:dyDescent="0.35">
      <c r="A188" t="s">
        <v>131</v>
      </c>
      <c r="B188" t="s">
        <v>132</v>
      </c>
      <c r="C188" t="s">
        <v>161</v>
      </c>
      <c r="D188" t="s">
        <v>135</v>
      </c>
      <c r="E188" s="10">
        <v>11562011.992056301</v>
      </c>
      <c r="H188" s="10">
        <v>11562011.992056301</v>
      </c>
    </row>
    <row r="189" spans="1:8" x14ac:dyDescent="0.35">
      <c r="A189" t="s">
        <v>131</v>
      </c>
      <c r="B189" t="s">
        <v>132</v>
      </c>
      <c r="C189" t="s">
        <v>161</v>
      </c>
      <c r="D189" t="s">
        <v>136</v>
      </c>
      <c r="E189" s="10">
        <v>10208949.270188499</v>
      </c>
      <c r="H189" s="10">
        <v>10208949.270188499</v>
      </c>
    </row>
    <row r="190" spans="1:8" x14ac:dyDescent="0.35">
      <c r="A190" t="s">
        <v>131</v>
      </c>
      <c r="B190" t="s">
        <v>132</v>
      </c>
      <c r="C190" t="s">
        <v>161</v>
      </c>
      <c r="D190" t="s">
        <v>137</v>
      </c>
      <c r="E190" s="10">
        <v>7186392.0312991003</v>
      </c>
      <c r="H190" s="10">
        <v>7186392.0312991003</v>
      </c>
    </row>
    <row r="191" spans="1:8" x14ac:dyDescent="0.35">
      <c r="A191" t="s">
        <v>131</v>
      </c>
      <c r="B191" t="s">
        <v>132</v>
      </c>
      <c r="C191" t="s">
        <v>161</v>
      </c>
      <c r="D191" t="s">
        <v>138</v>
      </c>
      <c r="E191" s="10">
        <v>7027553.0225751996</v>
      </c>
      <c r="H191" s="10">
        <v>7027553.0225751996</v>
      </c>
    </row>
    <row r="192" spans="1:8" x14ac:dyDescent="0.35">
      <c r="A192" t="s">
        <v>131</v>
      </c>
      <c r="B192" t="s">
        <v>132</v>
      </c>
      <c r="C192" t="s">
        <v>161</v>
      </c>
      <c r="D192" t="s">
        <v>139</v>
      </c>
      <c r="E192" s="10">
        <v>8777771.3754957002</v>
      </c>
      <c r="H192" s="10">
        <v>8777771.3754957002</v>
      </c>
    </row>
    <row r="193" spans="1:8" x14ac:dyDescent="0.35">
      <c r="A193" t="s">
        <v>131</v>
      </c>
      <c r="B193" t="s">
        <v>132</v>
      </c>
      <c r="C193" t="s">
        <v>161</v>
      </c>
      <c r="D193" t="s">
        <v>140</v>
      </c>
      <c r="E193" s="10">
        <v>10526104.9472926</v>
      </c>
      <c r="H193" s="10">
        <v>10526104.9472926</v>
      </c>
    </row>
    <row r="194" spans="1:8" x14ac:dyDescent="0.35">
      <c r="A194" t="s">
        <v>131</v>
      </c>
      <c r="B194" t="s">
        <v>132</v>
      </c>
      <c r="C194" t="s">
        <v>161</v>
      </c>
      <c r="D194" t="s">
        <v>141</v>
      </c>
      <c r="E194" s="10">
        <v>10024818.225466499</v>
      </c>
      <c r="H194" s="10">
        <v>10024818.225466499</v>
      </c>
    </row>
    <row r="195" spans="1:8" x14ac:dyDescent="0.35">
      <c r="A195" t="s">
        <v>131</v>
      </c>
      <c r="B195" t="s">
        <v>132</v>
      </c>
      <c r="C195" t="s">
        <v>161</v>
      </c>
      <c r="D195" t="s">
        <v>142</v>
      </c>
      <c r="E195" s="10">
        <v>9123150.9210078996</v>
      </c>
      <c r="H195" s="10">
        <v>9123150.9210078996</v>
      </c>
    </row>
    <row r="196" spans="1:8" x14ac:dyDescent="0.35">
      <c r="A196" t="s">
        <v>131</v>
      </c>
      <c r="B196" t="s">
        <v>132</v>
      </c>
      <c r="C196" t="s">
        <v>161</v>
      </c>
      <c r="D196" t="s">
        <v>143</v>
      </c>
      <c r="E196" s="10">
        <v>7904420.5746491998</v>
      </c>
      <c r="H196" s="10">
        <v>7904420.5746491998</v>
      </c>
    </row>
    <row r="197" spans="1:8" x14ac:dyDescent="0.35">
      <c r="A197" t="s">
        <v>131</v>
      </c>
      <c r="B197" t="s">
        <v>132</v>
      </c>
      <c r="C197" t="s">
        <v>161</v>
      </c>
      <c r="D197" t="s">
        <v>144</v>
      </c>
      <c r="E197" s="10">
        <v>7067705.3461416001</v>
      </c>
      <c r="H197" s="10">
        <v>7067705.3461416001</v>
      </c>
    </row>
    <row r="198" spans="1:8" x14ac:dyDescent="0.35">
      <c r="A198" t="s">
        <v>131</v>
      </c>
      <c r="B198" t="s">
        <v>132</v>
      </c>
      <c r="C198" t="s">
        <v>161</v>
      </c>
      <c r="D198" t="s">
        <v>145</v>
      </c>
      <c r="E198" s="10">
        <v>8299200.9142258</v>
      </c>
      <c r="H198" s="10">
        <v>8299200.9142258</v>
      </c>
    </row>
    <row r="199" spans="1:8" x14ac:dyDescent="0.35">
      <c r="A199" t="s">
        <v>131</v>
      </c>
      <c r="B199" t="s">
        <v>132</v>
      </c>
      <c r="C199" t="s">
        <v>162</v>
      </c>
      <c r="D199" t="s">
        <v>134</v>
      </c>
      <c r="E199" s="10">
        <v>4542620.9622873003</v>
      </c>
      <c r="H199" s="10">
        <v>4542620.9622873003</v>
      </c>
    </row>
    <row r="200" spans="1:8" x14ac:dyDescent="0.35">
      <c r="A200" t="s">
        <v>131</v>
      </c>
      <c r="B200" t="s">
        <v>132</v>
      </c>
      <c r="C200" t="s">
        <v>162</v>
      </c>
      <c r="D200" t="s">
        <v>135</v>
      </c>
      <c r="E200" s="10">
        <v>4760759.7306220997</v>
      </c>
      <c r="H200" s="10">
        <v>4760759.7306220997</v>
      </c>
    </row>
    <row r="201" spans="1:8" x14ac:dyDescent="0.35">
      <c r="A201" t="s">
        <v>131</v>
      </c>
      <c r="B201" t="s">
        <v>132</v>
      </c>
      <c r="C201" t="s">
        <v>162</v>
      </c>
      <c r="D201" t="s">
        <v>136</v>
      </c>
      <c r="E201" s="10">
        <v>4316782.5171571001</v>
      </c>
      <c r="H201" s="10">
        <v>4316782.5171571001</v>
      </c>
    </row>
    <row r="202" spans="1:8" x14ac:dyDescent="0.35">
      <c r="A202" t="s">
        <v>131</v>
      </c>
      <c r="B202" t="s">
        <v>132</v>
      </c>
      <c r="C202" t="s">
        <v>162</v>
      </c>
      <c r="D202" t="s">
        <v>137</v>
      </c>
      <c r="E202" s="10">
        <v>3392329.1945627001</v>
      </c>
      <c r="H202" s="10">
        <v>3392329.1945627001</v>
      </c>
    </row>
    <row r="203" spans="1:8" x14ac:dyDescent="0.35">
      <c r="A203" t="s">
        <v>131</v>
      </c>
      <c r="B203" t="s">
        <v>132</v>
      </c>
      <c r="C203" t="s">
        <v>162</v>
      </c>
      <c r="D203" t="s">
        <v>138</v>
      </c>
      <c r="E203" s="10">
        <v>4440161.4833870996</v>
      </c>
      <c r="H203" s="10">
        <v>4440161.4833870996</v>
      </c>
    </row>
    <row r="204" spans="1:8" x14ac:dyDescent="0.35">
      <c r="A204" t="s">
        <v>131</v>
      </c>
      <c r="B204" t="s">
        <v>132</v>
      </c>
      <c r="C204" t="s">
        <v>162</v>
      </c>
      <c r="D204" t="s">
        <v>139</v>
      </c>
      <c r="E204" s="10">
        <v>6972507.6319001997</v>
      </c>
      <c r="H204" s="10">
        <v>6972507.6319001997</v>
      </c>
    </row>
    <row r="205" spans="1:8" x14ac:dyDescent="0.35">
      <c r="A205" t="s">
        <v>131</v>
      </c>
      <c r="B205" t="s">
        <v>132</v>
      </c>
      <c r="C205" t="s">
        <v>162</v>
      </c>
      <c r="D205" t="s">
        <v>140</v>
      </c>
      <c r="E205" s="10">
        <v>9252903.3164061997</v>
      </c>
      <c r="H205" s="10">
        <v>9252903.3164061997</v>
      </c>
    </row>
    <row r="206" spans="1:8" x14ac:dyDescent="0.35">
      <c r="A206" t="s">
        <v>131</v>
      </c>
      <c r="B206" t="s">
        <v>132</v>
      </c>
      <c r="C206" t="s">
        <v>162</v>
      </c>
      <c r="D206" t="s">
        <v>141</v>
      </c>
      <c r="E206" s="10">
        <v>9143815.0922087003</v>
      </c>
      <c r="H206" s="10">
        <v>9143815.0922087003</v>
      </c>
    </row>
    <row r="207" spans="1:8" x14ac:dyDescent="0.35">
      <c r="A207" t="s">
        <v>131</v>
      </c>
      <c r="B207" t="s">
        <v>132</v>
      </c>
      <c r="C207" t="s">
        <v>162</v>
      </c>
      <c r="D207" t="s">
        <v>142</v>
      </c>
      <c r="E207" s="10">
        <v>8081486.7734516002</v>
      </c>
      <c r="H207" s="10">
        <v>8081486.7734516002</v>
      </c>
    </row>
    <row r="208" spans="1:8" x14ac:dyDescent="0.35">
      <c r="A208" t="s">
        <v>131</v>
      </c>
      <c r="B208" t="s">
        <v>132</v>
      </c>
      <c r="C208" t="s">
        <v>162</v>
      </c>
      <c r="D208" t="s">
        <v>143</v>
      </c>
      <c r="E208" s="10">
        <v>6561329.7617653003</v>
      </c>
      <c r="H208" s="10">
        <v>6561329.7617653003</v>
      </c>
    </row>
    <row r="209" spans="1:8" x14ac:dyDescent="0.35">
      <c r="A209" t="s">
        <v>131</v>
      </c>
      <c r="B209" t="s">
        <v>132</v>
      </c>
      <c r="C209" t="s">
        <v>162</v>
      </c>
      <c r="D209" t="s">
        <v>144</v>
      </c>
      <c r="E209" s="10">
        <v>4790616.8788740998</v>
      </c>
      <c r="H209" s="10">
        <v>4790616.8788740998</v>
      </c>
    </row>
    <row r="210" spans="1:8" ht="16" x14ac:dyDescent="0.5">
      <c r="A210" t="s">
        <v>131</v>
      </c>
      <c r="B210" t="s">
        <v>132</v>
      </c>
      <c r="C210" t="s">
        <v>162</v>
      </c>
      <c r="D210" t="s">
        <v>145</v>
      </c>
      <c r="E210" s="10">
        <v>4116947.2260749</v>
      </c>
      <c r="H210" s="20">
        <v>4116947.2260749</v>
      </c>
    </row>
    <row r="211" spans="1:8" x14ac:dyDescent="0.35">
      <c r="G211" s="10" t="s">
        <v>18</v>
      </c>
      <c r="H211" s="58">
        <f>SUM(H7:H210)</f>
        <v>11917576974.119503</v>
      </c>
    </row>
  </sheetData>
  <pageMargins left="0.7" right="0.7" top="0.75" bottom="0.75" header="0.3" footer="0.3"/>
  <pageSetup orientation="portrait" horizontalDpi="4294967293" verticalDpi="4294967293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ategory xmlns="4b531ba3-76f2-4b7c-873c-ca804e75a698">Please Choose</Category>
    <Champion xmlns="4b531ba3-76f2-4b7c-873c-ca804e75a698">Please Choose</Champion>
    <TaxCatchAll xmlns="9e81afc9-57c5-477a-92bb-50b210bf1f6b" xsi:nil="true"/>
    <Category_x0020_Description xmlns="4b531ba3-76f2-4b7c-873c-ca804e75a698">Please Choose</Category_x0020_Description>
    <Request xmlns="4b531ba3-76f2-4b7c-873c-ca804e75a698" xsi:nil="true"/>
    <Owner xmlns="4b531ba3-76f2-4b7c-873c-ca804e75a698">Please Choose</Owner>
    <lcf76f155ced4ddcb4097134ff3c332f xmlns="4b531ba3-76f2-4b7c-873c-ca804e75a698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522F28C0C4F2541A3E5F2EADA36E1DB" ma:contentTypeVersion="17" ma:contentTypeDescription="Create a new document." ma:contentTypeScope="" ma:versionID="3443e6bef8525e7a4cfcfc9286fe6edf">
  <xsd:schema xmlns:xsd="http://www.w3.org/2001/XMLSchema" xmlns:xs="http://www.w3.org/2001/XMLSchema" xmlns:p="http://schemas.microsoft.com/office/2006/metadata/properties" xmlns:ns2="4b531ba3-76f2-4b7c-873c-ca804e75a698" xmlns:ns3="9e81afc9-57c5-477a-92bb-50b210bf1f6b" targetNamespace="http://schemas.microsoft.com/office/2006/metadata/properties" ma:root="true" ma:fieldsID="c4ec5e621597a7800625039640c41393" ns2:_="" ns3:_="">
    <xsd:import namespace="4b531ba3-76f2-4b7c-873c-ca804e75a698"/>
    <xsd:import namespace="9e81afc9-57c5-477a-92bb-50b210bf1f6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Owner" minOccurs="0"/>
                <xsd:element ref="ns2:Champion" minOccurs="0"/>
                <xsd:element ref="ns2:Category" minOccurs="0"/>
                <xsd:element ref="ns2:Category_x0020_Description" minOccurs="0"/>
                <xsd:element ref="ns2:Request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531ba3-76f2-4b7c-873c-ca804e75a69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Owner" ma:index="12" nillable="true" ma:displayName="Owner" ma:default="Please Choose" ma:format="Dropdown" ma:internalName="Owner">
      <xsd:simpleType>
        <xsd:restriction base="dms:Choice">
          <xsd:enumeration value="Please Choose"/>
          <xsd:enumeration value="M. Barwood"/>
          <xsd:enumeration value="P. Breetz"/>
          <xsd:enumeration value="T. Brier"/>
          <xsd:enumeration value="S. Briggs"/>
          <xsd:enumeration value="K. Burgess"/>
          <xsd:enumeration value="B. Byrd"/>
          <xsd:enumeration value="T. Cannon"/>
          <xsd:enumeration value="M. Carroll"/>
          <xsd:enumeration value="M. Carroll/M. Smialek"/>
          <xsd:enumeration value="C. Carthew"/>
          <xsd:enumeration value="K. Connelly"/>
          <xsd:enumeration value="T. Cowan"/>
          <xsd:enumeration value="K. Dawson"/>
          <xsd:enumeration value="J. Deimling"/>
          <xsd:enumeration value="M. Dowling"/>
          <xsd:enumeration value="J. Falvy"/>
          <xsd:enumeration value="R. Ferguson"/>
          <xsd:enumeration value="C. Fink"/>
          <xsd:enumeration value="T. Fite"/>
          <xsd:enumeration value="G. Gamler"/>
          <xsd:enumeration value="J. Garanich"/>
          <xsd:enumeration value="M. Gardner"/>
          <xsd:enumeration value="Y. Garie"/>
          <xsd:enumeration value="G. Grant"/>
          <xsd:enumeration value="R. Green"/>
          <xsd:enumeration value="W. Gutridge"/>
          <xsd:enumeration value="L. Hawkins"/>
          <xsd:enumeration value="E. Herrmann"/>
          <xsd:enumeration value="G. Hilbert"/>
          <xsd:enumeration value="J. Holman"/>
          <xsd:enumeration value="K. Hromyak"/>
          <xsd:enumeration value="G. Hussing"/>
          <xsd:enumeration value="J. Jenkins"/>
          <xsd:enumeration value="J. Judge"/>
          <xsd:enumeration value="P. Kelly"/>
          <xsd:enumeration value="D. Kozy"/>
          <xsd:enumeration value="T. Kuhn"/>
          <xsd:enumeration value="J. Lambert / T. Brier"/>
          <xsd:enumeration value="F. Lawson"/>
          <xsd:enumeration value="S. Lindsey"/>
          <xsd:enumeration value="B. Marshall"/>
          <xsd:enumeration value="J. Marulli"/>
          <xsd:enumeration value="M. Mazurek"/>
          <xsd:enumeration value="K. Mendenhall"/>
          <xsd:enumeration value="F. Mercadante"/>
          <xsd:enumeration value="D. O'Boyle"/>
          <xsd:enumeration value="C. Oney"/>
          <xsd:enumeration value="J. O'Toole"/>
          <xsd:enumeration value="D. Parshall"/>
          <xsd:enumeration value="D. Perrine"/>
          <xsd:enumeration value="T. Pesich"/>
          <xsd:enumeration value="J. Piersol"/>
          <xsd:enumeration value="B. Portz"/>
          <xsd:enumeration value="N. Price/S. Silvis"/>
          <xsd:enumeration value="L. Redenshek"/>
          <xsd:enumeration value="B. Reffner"/>
          <xsd:enumeration value="A. Richards"/>
          <xsd:enumeration value="R. Scilla"/>
          <xsd:enumeration value="K. Siedt"/>
          <xsd:enumeration value="H. Slagle"/>
          <xsd:enumeration value="R. Smith"/>
          <xsd:enumeration value="D. Stathis"/>
          <xsd:enumeration value="B. Stevenson"/>
          <xsd:enumeration value="K. Strah"/>
          <xsd:enumeration value="L. Sweeney"/>
          <xsd:enumeration value="K. Turosky"/>
          <xsd:enumeration value="C. Walker"/>
          <xsd:enumeration value="I. Warchol"/>
          <xsd:enumeration value="C. Waris"/>
          <xsd:enumeration value="C. Weyrick"/>
          <xsd:enumeration value="L. Wilson"/>
          <xsd:enumeration value="D. Winston"/>
        </xsd:restriction>
      </xsd:simpleType>
    </xsd:element>
    <xsd:element name="Champion" ma:index="13" nillable="true" ma:displayName="Champion" ma:default="Please Choose" ma:description="Champion's Name" ma:format="Dropdown" ma:internalName="Champion">
      <xsd:simpleType>
        <xsd:union memberTypes="dms:Text">
          <xsd:simpleType>
            <xsd:restriction base="dms:Choice">
              <xsd:enumeration value="Please Choose"/>
              <xsd:enumeration value="L. Barman"/>
              <xsd:enumeration value="N. Bernard"/>
              <xsd:enumeration value="K. Bunting"/>
              <xsd:enumeration value="J. Clark"/>
              <xsd:enumeration value="K. Corrigan"/>
              <xsd:enumeration value="B. Ehasz"/>
              <xsd:enumeration value="E. Fatusha"/>
              <xsd:enumeration value="J. Feudner"/>
              <xsd:enumeration value="J. Fischer"/>
              <xsd:enumeration value="B. Frastaci"/>
              <xsd:enumeration value="L. Gaspar / J. Dreher"/>
              <xsd:enumeration value="P. Gerus"/>
              <xsd:enumeration value="C. Givler"/>
              <xsd:enumeration value="K. Gulich"/>
              <xsd:enumeration value="J. Hartshorne"/>
              <xsd:enumeration value="L. Herchick"/>
              <xsd:enumeration value="J. Holman"/>
              <xsd:enumeration value="L. Humphrey"/>
              <xsd:enumeration value="L. Kirkendall"/>
              <xsd:enumeration value="G. Kleckner"/>
              <xsd:enumeration value="A. Korkosz"/>
              <xsd:enumeration value="R. Lamb"/>
              <xsd:enumeration value="R. Lapadot"/>
              <xsd:enumeration value="K. Lawhun"/>
              <xsd:enumeration value="J. Lewandowski"/>
              <xsd:enumeration value="S. Lindsey"/>
              <xsd:enumeration value="T. Luebbering"/>
              <xsd:enumeration value="D. Lynch"/>
              <xsd:enumeration value="S. Marano"/>
              <xsd:enumeration value="K. Margo"/>
              <xsd:enumeration value="B. Marshall"/>
              <xsd:enumeration value="J. Marulli"/>
              <xsd:enumeration value="M. Massie"/>
              <xsd:enumeration value="S. Matuscak"/>
              <xsd:enumeration value="T. McDonnell"/>
              <xsd:enumeration value="D. McVey"/>
              <xsd:enumeration value="P. Mullin"/>
              <xsd:enumeration value="P. Pagano"/>
              <xsd:enumeration value="G. Pleiss"/>
              <xsd:enumeration value="M. Pollard"/>
              <xsd:enumeration value="A. Pompeo"/>
              <xsd:enumeration value="A. Richards"/>
              <xsd:enumeration value="J. Schneider"/>
              <xsd:enumeration value="G. Sekulich / P. Allison"/>
              <xsd:enumeration value="J. Shaub"/>
              <xsd:enumeration value="B. Shissias"/>
              <xsd:enumeration value="M. Smialek"/>
              <xsd:enumeration value="S. Soto / K. Scaffidi"/>
              <xsd:enumeration value="N. Stith"/>
              <xsd:enumeration value="B. Totten"/>
              <xsd:enumeration value="E. Udovich"/>
              <xsd:enumeration value="E. Udovich / L. Hawkins"/>
              <xsd:enumeration value="C. Vadasz"/>
              <xsd:enumeration value="N. Vass / T. Allen"/>
              <xsd:enumeration value="C. Weyrick"/>
              <xsd:enumeration value="J. Whitley"/>
              <xsd:enumeration value="D. Winston"/>
            </xsd:restriction>
          </xsd:simpleType>
        </xsd:union>
      </xsd:simpleType>
    </xsd:element>
    <xsd:element name="Category" ma:index="14" nillable="true" ma:displayName="Category" ma:default="Please Choose" ma:description="Choose Acronym for Category" ma:format="Dropdown" ma:internalName="Category">
      <xsd:simpleType>
        <xsd:union memberTypes="dms:Text">
          <xsd:simpleType>
            <xsd:restriction base="dms:Choice">
              <xsd:enumeration value="Please Choose"/>
              <xsd:enumeration value="AccPR"/>
              <xsd:enumeration value="AffCA"/>
              <xsd:enumeration value="AffRe"/>
              <xsd:enumeration value="CaMgt"/>
              <xsd:enumeration value="CE"/>
              <xsd:enumeration value="ContP"/>
              <xsd:enumeration value="CusS"/>
              <xsd:enumeration value="DOps"/>
              <xsd:enumeration value="EnPro"/>
              <xsd:enumeration value="ExMgt"/>
              <xsd:enumeration value="ExRel"/>
              <xsd:enumeration value="Ext"/>
              <xsd:enumeration value="FIN"/>
              <xsd:enumeration value="Gen"/>
              <xsd:enumeration value="HR"/>
              <xsd:enumeration value="Markt"/>
              <xsd:enumeration value="OrgSt"/>
              <xsd:enumeration value="PreAn"/>
              <xsd:enumeration value="Remed"/>
              <xsd:enumeration value="SS-F"/>
              <xsd:enumeration value="SS-IT"/>
              <xsd:enumeration value="SS-Le"/>
              <xsd:enumeration value="SS-Pr"/>
              <xsd:enumeration value="SS-R"/>
              <xsd:enumeration value="SS-Re"/>
              <xsd:enumeration value="SS-Tr"/>
              <xsd:enumeration value="StPln"/>
            </xsd:restriction>
          </xsd:simpleType>
        </xsd:union>
      </xsd:simpleType>
    </xsd:element>
    <xsd:element name="Category_x0020_Description" ma:index="15" nillable="true" ma:displayName="Category Description" ma:default="Please Choose" ma:format="Dropdown" ma:internalName="Category_x0020_Description">
      <xsd:simpleType>
        <xsd:union memberTypes="dms:Text">
          <xsd:simpleType>
            <xsd:restriction base="dms:Choice">
              <xsd:enumeration value="Please Choose"/>
              <xsd:enumeration value="Accounting &amp; Property Records"/>
              <xsd:enumeration value="Affiliate Cost Allocation"/>
              <xsd:enumeration value="Affiliate Relationships"/>
              <xsd:enumeration value="Cash Management"/>
              <xsd:enumeration value="Clean Energy"/>
              <xsd:enumeration value="Contractor Performance"/>
              <xsd:enumeration value="Customer Service"/>
              <xsd:enumeration value="Distribution &amp; Operation Maintenance"/>
              <xsd:enumeration value="Energy Procurement"/>
              <xsd:enumeration value="Executive Management &amp; Corporate Governance"/>
              <xsd:enumeration value="Extensions &amp; Upgrades"/>
              <xsd:enumeration value="External Relations"/>
              <xsd:enumeration value="Facilities &amp; Property Management"/>
              <xsd:enumeration value="Finance"/>
              <xsd:enumeration value="General"/>
              <xsd:enumeration value="Human Resources"/>
              <xsd:enumeration value="Information Technology"/>
              <xsd:enumeration value="Legal"/>
              <xsd:enumeration value="Market Conditions"/>
              <xsd:enumeration value="Organizational Structure"/>
              <xsd:enumeration value="Previous Audit Recommendations"/>
              <xsd:enumeration value="Records Management"/>
              <xsd:enumeration value="Remediation Costs"/>
              <xsd:enumeration value="Risk Management"/>
              <xsd:enumeration value="Strategic Planning"/>
              <xsd:enumeration value="Supply Chain"/>
              <xsd:enumeration value="Transportation &amp; Fleet"/>
            </xsd:restriction>
          </xsd:simpleType>
        </xsd:union>
      </xsd:simpleType>
    </xsd:element>
    <xsd:element name="Request" ma:index="16" nillable="true" ma:displayName="Request" ma:description="Data Request" ma:internalName="Request">
      <xsd:simpleType>
        <xsd:restriction base="dms:Text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acb5b824-1d4f-46a6-8b92-e71fb983b15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81afc9-57c5-477a-92bb-50b210bf1f6b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ef645dea-f39d-4c97-bd3d-a0eda2d05575}" ma:internalName="TaxCatchAll" ma:showField="CatchAllData" ma:web="40595bc1-87e7-4c16-a1f7-bf52b85aa81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26404AE-0AD9-4099-B67A-253A697BEA0C}">
  <ds:schemaRefs>
    <ds:schemaRef ds:uri="http://purl.org/dc/elements/1.1/"/>
    <ds:schemaRef ds:uri="http://schemas.microsoft.com/office/infopath/2007/PartnerControls"/>
    <ds:schemaRef ds:uri="http://www.w3.org/XML/1998/namespace"/>
    <ds:schemaRef ds:uri="http://schemas.microsoft.com/office/2006/documentManagement/types"/>
    <ds:schemaRef ds:uri="http://schemas.microsoft.com/office/2006/metadata/properties"/>
    <ds:schemaRef ds:uri="9e81afc9-57c5-477a-92bb-50b210bf1f6b"/>
    <ds:schemaRef ds:uri="http://purl.org/dc/terms/"/>
    <ds:schemaRef ds:uri="http://schemas.openxmlformats.org/package/2006/metadata/core-properties"/>
    <ds:schemaRef ds:uri="4b531ba3-76f2-4b7c-873c-ca804e75a698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327100A0-26A5-4EF1-8AC8-6174E29D917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E587AF1-3C95-46C4-93C9-26DB75224CB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531ba3-76f2-4b7c-873c-ca804e75a698"/>
    <ds:schemaRef ds:uri="9e81afc9-57c5-477a-92bb-50b210bf1f6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</vt:i4>
      </vt:variant>
    </vt:vector>
  </HeadingPairs>
  <TitlesOfParts>
    <vt:vector size="10" baseType="lpstr">
      <vt:lpstr>RRC Component Rates (RRC-1)</vt:lpstr>
      <vt:lpstr>Actual EEC rev.- class (EE&amp;C-1)</vt:lpstr>
      <vt:lpstr>Monthly Revenue Req. (EE&amp;C-2)</vt:lpstr>
      <vt:lpstr>Reconciliation (EE&amp;C-3)</vt:lpstr>
      <vt:lpstr>Projected Rev. Req (EE&amp;C-4)</vt:lpstr>
      <vt:lpstr>Rate Calculation (EE&amp;C-5)</vt:lpstr>
      <vt:lpstr>Journal Entries (EE&amp;C-6)</vt:lpstr>
      <vt:lpstr>Rate Impacts (EE&amp;C-7)</vt:lpstr>
      <vt:lpstr>kwh forecast</vt:lpstr>
      <vt:lpstr>'Rate Calculation (EE&amp;C-5)'!Print_Area</vt:lpstr>
    </vt:vector>
  </TitlesOfParts>
  <Manager/>
  <Company>FirstEnergy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Siedt, Kevin M</dc:creator>
  <cp:keywords/>
  <dc:description/>
  <cp:lastModifiedBy>O'Toole, James E</cp:lastModifiedBy>
  <cp:revision/>
  <cp:lastPrinted>2023-02-01T18:06:04Z</cp:lastPrinted>
  <dcterms:created xsi:type="dcterms:W3CDTF">2021-12-10T17:16:59Z</dcterms:created>
  <dcterms:modified xsi:type="dcterms:W3CDTF">2023-02-01T19:35:43Z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0x0101004522F28C0C4F2541A3E5F2EADA36E1DB</vt:lpwstr>
  </property>
  <property fmtid="{D5CDD505-2E9C-101B-9397-08002B2CF9AE}" pid="3" name="MediaServiceImageTags">
    <vt:lpwstr/>
  </property>
</Properties>
</file>