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irstenergycorp.sharepoint.com/teams/msteams_50c2f6/Shared Documents/General/RRC/2025 Rider RRC Filing, BPU Docket No. ERXXXXXXXX/1- Petition/1-Final Petition/"/>
    </mc:Choice>
  </mc:AlternateContent>
  <xr:revisionPtr revIDLastSave="47" documentId="8_{E109F783-9EF5-4D35-8765-B3D42286902C}" xr6:coauthVersionLast="47" xr6:coauthVersionMax="47" xr10:uidLastSave="{46DCED0E-9831-4418-B95D-D01BD5A2D5F1}"/>
  <bookViews>
    <workbookView xWindow="-120" yWindow="-120" windowWidth="29040" windowHeight="17520" tabRatio="841" firstSheet="1" activeTab="1" xr2:uid="{C52B4F1F-8D61-4A70-9FB0-295BFF3C1109}"/>
  </bookViews>
  <sheets>
    <sheet name="RRC Component Rates (RRC-1)" sheetId="9" state="hidden" r:id="rId1"/>
    <sheet name="Revs by Rate Class (EE&amp;C2_p1)" sheetId="2" r:id="rId2"/>
    <sheet name="Monthly Revenue Req.(EE&amp;C2_p2)" sheetId="1" r:id="rId3"/>
    <sheet name="Reconciliation (EE&amp;C2_p3)" sheetId="3" r:id="rId4"/>
    <sheet name="Projected Rev.Req (EE&amp;C2_p4)" sheetId="11" r:id="rId5"/>
    <sheet name="Rate Calculation (EE&amp;C2_p5)" sheetId="4" r:id="rId6"/>
    <sheet name="Journal Entries (EE&amp;C2_p6)" sheetId="5" r:id="rId7"/>
    <sheet name="Rate Impacts (EE&amp;C2_p7)" sheetId="6" r:id="rId8"/>
    <sheet name="kWh Forecast" sheetId="13" r:id="rId9"/>
    <sheet name="CAP-1 WACC" sheetId="19" r:id="rId10"/>
    <sheet name="CAP-2 Program Expenses" sheetId="15" r:id="rId11"/>
    <sheet name="CAP-3 EE&amp;C" sheetId="17" r:id="rId12"/>
    <sheet name="CAP-4 Rate Calculation" sheetId="21" r:id="rId13"/>
    <sheet name="CAP-9 Proforma BS &amp; IS+" sheetId="22" r:id="rId14"/>
    <sheet name="EEC-2 Budget" sheetId="16" r:id="rId15"/>
    <sheet name="Financing Unamortized Balance" sheetId="18" r:id="rId16"/>
    <sheet name="10+2 Forecast" sheetId="20" state="hidden" r:id="rId17"/>
    <sheet name="EEC TRI2 _Backup" sheetId="12" state="hidden" r:id="rId18"/>
  </sheets>
  <definedNames>
    <definedName name="_xlnm.Print_Area" localSheetId="6">'Journal Entries (EE&amp;C2_p6)'!$A$1:$U$33</definedName>
    <definedName name="_xlnm.Print_Area" localSheetId="2">'Monthly Revenue Req.(EE&amp;C2_p2)'!$A$1:$R$77</definedName>
    <definedName name="_xlnm.Print_Area" localSheetId="4">'Projected Rev.Req (EE&amp;C2_p4)'!$A$1:$R$29</definedName>
    <definedName name="_xlnm.Print_Area" localSheetId="5">'Rate Calculation (EE&amp;C2_p5)'!$A$1:$C$37</definedName>
    <definedName name="_xlnm.Print_Area" localSheetId="7">'Rate Impacts (EE&amp;C2_p7)'!$A$1:$A$46</definedName>
    <definedName name="_xlnm.Print_Area" localSheetId="3">'Reconciliation (EE&amp;C2_p3)'!$A$1:$O$93</definedName>
    <definedName name="_xlnm.Print_Area" localSheetId="1">'Revs by Rate Class (EE&amp;C2_p1)'!$A$1:$I$41</definedName>
    <definedName name="_xlnm.Print_Area" localSheetId="0">'RRC Component Rates (RRC-1)'!$A$1:$F$29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7" i="15" l="1"/>
  <c r="Q74" i="1" l="1"/>
  <c r="Q73" i="1"/>
  <c r="Q72" i="1"/>
  <c r="Q71" i="1"/>
  <c r="Q70" i="1"/>
  <c r="D30" i="2"/>
  <c r="C58" i="1"/>
  <c r="C76" i="1" s="1"/>
  <c r="E51" i="1" l="1"/>
  <c r="H40" i="2" l="1"/>
  <c r="K26" i="17"/>
  <c r="K25" i="17"/>
  <c r="K24" i="17"/>
  <c r="K23" i="17"/>
  <c r="Q23" i="17" s="1"/>
  <c r="R23" i="17" s="1"/>
  <c r="K22" i="17"/>
  <c r="T20" i="5" l="1"/>
  <c r="S20" i="5"/>
  <c r="R20" i="5"/>
  <c r="Q20" i="5"/>
  <c r="P20" i="5"/>
  <c r="O20" i="5"/>
  <c r="M20" i="5"/>
  <c r="L20" i="5"/>
  <c r="K20" i="5"/>
  <c r="J20" i="5"/>
  <c r="I20" i="5"/>
  <c r="H20" i="5"/>
  <c r="E32" i="13"/>
  <c r="E31" i="13"/>
  <c r="E30" i="13"/>
  <c r="E29" i="13"/>
  <c r="E28" i="13"/>
  <c r="E27" i="13"/>
  <c r="E26" i="13"/>
  <c r="E25" i="13"/>
  <c r="E24" i="13"/>
  <c r="E23" i="13"/>
  <c r="E22" i="13"/>
  <c r="E21" i="13"/>
  <c r="L23" i="11"/>
  <c r="L22" i="11"/>
  <c r="L21" i="11"/>
  <c r="L20" i="11"/>
  <c r="L19" i="11"/>
  <c r="L18" i="11"/>
  <c r="L17" i="11"/>
  <c r="L16" i="11"/>
  <c r="L71" i="3"/>
  <c r="L72" i="3" s="1"/>
  <c r="C58" i="3"/>
  <c r="C59" i="3"/>
  <c r="C60" i="3"/>
  <c r="C61" i="3"/>
  <c r="C62" i="3"/>
  <c r="C57" i="3"/>
  <c r="C49" i="3"/>
  <c r="C45" i="3"/>
  <c r="C46" i="3"/>
  <c r="C47" i="3"/>
  <c r="C48" i="3"/>
  <c r="C44" i="3"/>
  <c r="C30" i="3"/>
  <c r="C31" i="3"/>
  <c r="C32" i="3"/>
  <c r="C33" i="3"/>
  <c r="C28" i="3"/>
  <c r="I21" i="13"/>
  <c r="I20" i="13"/>
  <c r="I19" i="13"/>
  <c r="I18" i="13"/>
  <c r="I17" i="13"/>
  <c r="I16" i="13"/>
  <c r="I15" i="13"/>
  <c r="I32" i="13"/>
  <c r="I31" i="13"/>
  <c r="I30" i="13"/>
  <c r="I29" i="13"/>
  <c r="I28" i="13"/>
  <c r="I27" i="13"/>
  <c r="I26" i="13"/>
  <c r="I25" i="13"/>
  <c r="I24" i="13"/>
  <c r="I23" i="13"/>
  <c r="I22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C76" i="3" s="1"/>
  <c r="O19" i="13"/>
  <c r="E61" i="3" s="1"/>
  <c r="O18" i="13"/>
  <c r="E60" i="3" s="1"/>
  <c r="O17" i="13"/>
  <c r="C73" i="3" s="1"/>
  <c r="O16" i="13"/>
  <c r="E58" i="3" s="1"/>
  <c r="O15" i="13"/>
  <c r="E57" i="3" s="1"/>
  <c r="J21" i="13"/>
  <c r="J22" i="13"/>
  <c r="J23" i="13"/>
  <c r="J24" i="13"/>
  <c r="J25" i="13"/>
  <c r="J26" i="13"/>
  <c r="J27" i="13"/>
  <c r="J28" i="13"/>
  <c r="J29" i="13"/>
  <c r="J30" i="13"/>
  <c r="J31" i="13"/>
  <c r="J32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M49" i="3"/>
  <c r="M48" i="3"/>
  <c r="M47" i="3"/>
  <c r="M46" i="3"/>
  <c r="M45" i="3"/>
  <c r="M44" i="3"/>
  <c r="E33" i="13" l="1"/>
  <c r="C23" i="4" s="1"/>
  <c r="C71" i="3"/>
  <c r="E62" i="3"/>
  <c r="C75" i="3"/>
  <c r="C74" i="3"/>
  <c r="E59" i="3"/>
  <c r="C72" i="3"/>
  <c r="C30" i="4"/>
  <c r="C39" i="4"/>
  <c r="M22" i="13"/>
  <c r="P22" i="13" s="1"/>
  <c r="M21" i="13"/>
  <c r="P21" i="13" s="1"/>
  <c r="M71" i="3"/>
  <c r="L73" i="3"/>
  <c r="L74" i="3" s="1"/>
  <c r="L75" i="3" s="1"/>
  <c r="M72" i="3"/>
  <c r="M23" i="13"/>
  <c r="P23" i="13" s="1"/>
  <c r="M27" i="13"/>
  <c r="P27" i="13" s="1"/>
  <c r="M29" i="13"/>
  <c r="P29" i="13" s="1"/>
  <c r="M26" i="13"/>
  <c r="P26" i="13" s="1"/>
  <c r="M28" i="13"/>
  <c r="P28" i="13" s="1"/>
  <c r="M32" i="13"/>
  <c r="P32" i="13" s="1"/>
  <c r="M31" i="13"/>
  <c r="P31" i="13" s="1"/>
  <c r="M30" i="13"/>
  <c r="P30" i="13" s="1"/>
  <c r="M25" i="13"/>
  <c r="P25" i="13" s="1"/>
  <c r="M24" i="13"/>
  <c r="P24" i="13" s="1"/>
  <c r="M73" i="3" l="1"/>
  <c r="M74" i="3"/>
  <c r="L76" i="3"/>
  <c r="M76" i="3" s="1"/>
  <c r="M75" i="3"/>
  <c r="B70" i="1" l="1"/>
  <c r="B71" i="1" s="1"/>
  <c r="B72" i="1" s="1"/>
  <c r="B73" i="1" s="1"/>
  <c r="B74" i="1" s="1"/>
  <c r="B75" i="1" s="1"/>
  <c r="B76" i="1" s="1"/>
  <c r="P48" i="1" l="1"/>
  <c r="P66" i="1" s="1"/>
  <c r="P30" i="1"/>
  <c r="F16" i="19"/>
  <c r="B53" i="1" l="1"/>
  <c r="B54" i="1" s="1"/>
  <c r="B55" i="1" s="1"/>
  <c r="B56" i="1" s="1"/>
  <c r="B57" i="1" s="1"/>
  <c r="B58" i="1" s="1"/>
  <c r="F12" i="19"/>
  <c r="F10" i="19"/>
  <c r="N23" i="17"/>
  <c r="L23" i="17"/>
  <c r="G23" i="17"/>
  <c r="O3" i="17"/>
  <c r="O1" i="17"/>
  <c r="O2" i="17"/>
  <c r="H3" i="17"/>
  <c r="P23" i="17"/>
  <c r="O23" i="17"/>
  <c r="M23" i="17"/>
  <c r="Q3" i="17"/>
  <c r="T25" i="5" l="1"/>
  <c r="S25" i="5"/>
  <c r="M28" i="3" l="1"/>
  <c r="K41" i="2" l="1"/>
  <c r="G41" i="2"/>
  <c r="F41" i="2"/>
  <c r="E41" i="2"/>
  <c r="D41" i="2"/>
  <c r="C41" i="2"/>
  <c r="H39" i="2"/>
  <c r="L39" i="2" s="1"/>
  <c r="H38" i="2"/>
  <c r="L38" i="2" s="1"/>
  <c r="H37" i="2"/>
  <c r="L37" i="2" s="1"/>
  <c r="H36" i="2"/>
  <c r="L36" i="2" s="1"/>
  <c r="H35" i="2"/>
  <c r="L35" i="2" s="1"/>
  <c r="H34" i="2"/>
  <c r="L34" i="2" s="1"/>
  <c r="H33" i="2"/>
  <c r="L33" i="2" s="1"/>
  <c r="H32" i="2"/>
  <c r="L32" i="2" s="1"/>
  <c r="H31" i="2"/>
  <c r="L31" i="2" s="1"/>
  <c r="H30" i="2"/>
  <c r="H29" i="2"/>
  <c r="L29" i="2" s="1"/>
  <c r="L30" i="2" l="1"/>
  <c r="C29" i="3"/>
  <c r="D57" i="3"/>
  <c r="H41" i="2"/>
  <c r="L41" i="2" s="1"/>
  <c r="F14" i="9" l="1"/>
  <c r="C14" i="9"/>
  <c r="F13" i="9"/>
  <c r="C13" i="9"/>
  <c r="F12" i="9"/>
  <c r="C12" i="9"/>
  <c r="F11" i="9"/>
  <c r="C11" i="9"/>
  <c r="F22" i="9" l="1"/>
  <c r="F23" i="9"/>
  <c r="F24" i="9"/>
  <c r="F25" i="9"/>
  <c r="A1" i="6"/>
  <c r="U1" i="5"/>
  <c r="R1" i="11"/>
  <c r="C1" i="4" s="1"/>
  <c r="R1" i="1" l="1"/>
  <c r="O1" i="3" s="1"/>
  <c r="N20" i="13" l="1"/>
  <c r="K20" i="13"/>
  <c r="J20" i="13"/>
  <c r="D20" i="13"/>
  <c r="N19" i="13"/>
  <c r="J19" i="13"/>
  <c r="N18" i="13"/>
  <c r="K18" i="13"/>
  <c r="J18" i="13"/>
  <c r="N17" i="13"/>
  <c r="K17" i="13"/>
  <c r="J17" i="13"/>
  <c r="N16" i="13"/>
  <c r="N15" i="13"/>
  <c r="O14" i="13"/>
  <c r="N14" i="13"/>
  <c r="L14" i="13"/>
  <c r="K14" i="13"/>
  <c r="D14" i="13"/>
  <c r="O13" i="13"/>
  <c r="N13" i="13"/>
  <c r="K13" i="13"/>
  <c r="J13" i="13"/>
  <c r="O12" i="13"/>
  <c r="N12" i="13"/>
  <c r="L12" i="13"/>
  <c r="K12" i="13"/>
  <c r="I12" i="13"/>
  <c r="O11" i="13"/>
  <c r="N11" i="13"/>
  <c r="K11" i="13"/>
  <c r="J11" i="13"/>
  <c r="I11" i="13"/>
  <c r="O10" i="13"/>
  <c r="N10" i="13"/>
  <c r="J10" i="13"/>
  <c r="I10" i="13"/>
  <c r="O9" i="13"/>
  <c r="N9" i="13"/>
  <c r="K9" i="13"/>
  <c r="O8" i="13"/>
  <c r="N8" i="13"/>
  <c r="L8" i="13"/>
  <c r="O7" i="13"/>
  <c r="N7" i="13"/>
  <c r="L7" i="13"/>
  <c r="J7" i="13"/>
  <c r="I7" i="13"/>
  <c r="O6" i="13"/>
  <c r="N6" i="13"/>
  <c r="K6" i="13"/>
  <c r="J6" i="13"/>
  <c r="I6" i="13"/>
  <c r="O5" i="13"/>
  <c r="N5" i="13"/>
  <c r="O4" i="13"/>
  <c r="N4" i="13"/>
  <c r="L4" i="13"/>
  <c r="J4" i="13"/>
  <c r="H4" i="13"/>
  <c r="H5" i="13" s="1"/>
  <c r="H6" i="13" s="1"/>
  <c r="H7" i="13" s="1"/>
  <c r="H8" i="13" s="1"/>
  <c r="H9" i="13" s="1"/>
  <c r="H10" i="13" s="1"/>
  <c r="H11" i="13" s="1"/>
  <c r="H12" i="13" s="1"/>
  <c r="H13" i="13" s="1"/>
  <c r="H14" i="13" s="1"/>
  <c r="O3" i="13"/>
  <c r="N3" i="13"/>
  <c r="L3" i="13"/>
  <c r="J3" i="13"/>
  <c r="I3" i="13"/>
  <c r="L15" i="13"/>
  <c r="K8" i="13"/>
  <c r="J14" i="13"/>
  <c r="N33" i="13" l="1"/>
  <c r="O33" i="13"/>
  <c r="L40" i="2"/>
  <c r="H15" i="13"/>
  <c r="H16" i="13" s="1"/>
  <c r="H17" i="13" s="1"/>
  <c r="H18" i="13" s="1"/>
  <c r="H19" i="13" s="1"/>
  <c r="H20" i="13" s="1"/>
  <c r="K3" i="13"/>
  <c r="K7" i="13"/>
  <c r="M7" i="13" s="1"/>
  <c r="P7" i="13" s="1"/>
  <c r="J12" i="13"/>
  <c r="M12" i="13" s="1"/>
  <c r="P12" i="13" s="1"/>
  <c r="L13" i="13"/>
  <c r="K19" i="13"/>
  <c r="L20" i="13"/>
  <c r="M20" i="13" s="1"/>
  <c r="P20" i="13" s="1"/>
  <c r="L19" i="13"/>
  <c r="L18" i="13"/>
  <c r="I5" i="13"/>
  <c r="L11" i="13"/>
  <c r="M11" i="13" s="1"/>
  <c r="P11" i="13" s="1"/>
  <c r="J5" i="13"/>
  <c r="J33" i="13" s="1"/>
  <c r="I9" i="13"/>
  <c r="K10" i="13"/>
  <c r="J16" i="13"/>
  <c r="L17" i="13"/>
  <c r="K5" i="13"/>
  <c r="J9" i="13"/>
  <c r="L10" i="13"/>
  <c r="K16" i="13"/>
  <c r="J15" i="13"/>
  <c r="L16" i="13"/>
  <c r="L6" i="13"/>
  <c r="M6" i="13" s="1"/>
  <c r="P6" i="13" s="1"/>
  <c r="J8" i="13"/>
  <c r="L9" i="13"/>
  <c r="I14" i="13"/>
  <c r="M14" i="13" s="1"/>
  <c r="P14" i="13" s="1"/>
  <c r="K15" i="13"/>
  <c r="I4" i="13"/>
  <c r="L5" i="13"/>
  <c r="L33" i="13" s="1"/>
  <c r="I8" i="13"/>
  <c r="M2" i="13"/>
  <c r="P2" i="13" s="1"/>
  <c r="K4" i="13"/>
  <c r="I13" i="13"/>
  <c r="A5" i="5"/>
  <c r="N33" i="5"/>
  <c r="N32" i="5"/>
  <c r="A5" i="4"/>
  <c r="A4" i="11"/>
  <c r="A4" i="3"/>
  <c r="A4" i="1"/>
  <c r="F26" i="9"/>
  <c r="C15" i="9"/>
  <c r="I33" i="13" l="1"/>
  <c r="M3" i="13"/>
  <c r="K33" i="13"/>
  <c r="M9" i="13"/>
  <c r="P9" i="13" s="1"/>
  <c r="M13" i="13"/>
  <c r="P13" i="13" s="1"/>
  <c r="M18" i="13"/>
  <c r="P18" i="13" s="1"/>
  <c r="M17" i="13"/>
  <c r="P17" i="13" s="1"/>
  <c r="M8" i="13"/>
  <c r="P8" i="13" s="1"/>
  <c r="M19" i="13"/>
  <c r="P19" i="13" s="1"/>
  <c r="M10" i="13"/>
  <c r="P10" i="13" s="1"/>
  <c r="P3" i="13"/>
  <c r="M4" i="13"/>
  <c r="P4" i="13" s="1"/>
  <c r="M5" i="13"/>
  <c r="P5" i="13" s="1"/>
  <c r="M15" i="13"/>
  <c r="P15" i="13" s="1"/>
  <c r="M16" i="13"/>
  <c r="P16" i="13" s="1"/>
  <c r="F15" i="9"/>
  <c r="P33" i="13" l="1"/>
  <c r="M33" i="13"/>
  <c r="I15" i="1"/>
  <c r="O15" i="1" s="1"/>
  <c r="E21" i="1"/>
  <c r="E20" i="1"/>
  <c r="E19" i="1"/>
  <c r="E18" i="1"/>
  <c r="E17" i="1"/>
  <c r="E16" i="1"/>
  <c r="C21" i="1"/>
  <c r="J14" i="22"/>
  <c r="I14" i="22"/>
  <c r="H14" i="22"/>
  <c r="E14" i="22"/>
  <c r="D14" i="22"/>
  <c r="C14" i="22"/>
  <c r="B39" i="22"/>
  <c r="B41" i="22" s="1"/>
  <c r="B28" i="22"/>
  <c r="B30" i="22" s="1"/>
  <c r="G21" i="22"/>
  <c r="G20" i="22"/>
  <c r="G19" i="22"/>
  <c r="G18" i="22"/>
  <c r="G17" i="22"/>
  <c r="G16" i="22"/>
  <c r="G15" i="22"/>
  <c r="G14" i="22"/>
  <c r="G13" i="22"/>
  <c r="G12" i="22"/>
  <c r="G11" i="22"/>
  <c r="G10" i="22"/>
  <c r="J16" i="21"/>
  <c r="I16" i="21"/>
  <c r="H16" i="21"/>
  <c r="E16" i="21"/>
  <c r="D16" i="21"/>
  <c r="C16" i="21"/>
  <c r="AI59" i="20"/>
  <c r="AH53" i="20"/>
  <c r="AI47" i="20"/>
  <c r="AH41" i="20"/>
  <c r="AI35" i="20"/>
  <c r="AH29" i="20"/>
  <c r="CC54" i="18"/>
  <c r="F95" i="17" s="1"/>
  <c r="AS54" i="18"/>
  <c r="F59" i="17" s="1"/>
  <c r="I54" i="18"/>
  <c r="CI54" i="18"/>
  <c r="F101" i="17" s="1"/>
  <c r="AM54" i="18"/>
  <c r="F53" i="17" s="1"/>
  <c r="AQ54" i="18"/>
  <c r="G178" i="17" s="1"/>
  <c r="BU54" i="18"/>
  <c r="F87" i="17" s="1"/>
  <c r="CE54" i="18"/>
  <c r="F97" i="17" s="1"/>
  <c r="F24" i="15"/>
  <c r="D24" i="15"/>
  <c r="C24" i="15"/>
  <c r="B24" i="15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S170" i="17"/>
  <c r="S169" i="17"/>
  <c r="S168" i="17"/>
  <c r="S167" i="17"/>
  <c r="S166" i="17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J13" i="21" s="1"/>
  <c r="S45" i="17"/>
  <c r="S44" i="17"/>
  <c r="S43" i="17"/>
  <c r="S42" i="17"/>
  <c r="S41" i="17"/>
  <c r="S40" i="17"/>
  <c r="E13" i="21" s="1"/>
  <c r="S39" i="17"/>
  <c r="S38" i="17"/>
  <c r="S37" i="17"/>
  <c r="S36" i="17"/>
  <c r="S35" i="17"/>
  <c r="S34" i="17"/>
  <c r="S33" i="17"/>
  <c r="S21" i="17"/>
  <c r="Q21" i="1" s="1"/>
  <c r="S20" i="17"/>
  <c r="Q20" i="1" s="1"/>
  <c r="S19" i="17"/>
  <c r="Q19" i="1" s="1"/>
  <c r="S18" i="17"/>
  <c r="Q18" i="1" s="1"/>
  <c r="S17" i="17"/>
  <c r="Q17" i="1" s="1"/>
  <c r="S16" i="17"/>
  <c r="C13" i="21" s="1"/>
  <c r="F7" i="17"/>
  <c r="C18" i="19"/>
  <c r="E12" i="19"/>
  <c r="B12" i="19"/>
  <c r="B14" i="19" s="1"/>
  <c r="D10" i="19"/>
  <c r="F133" i="17"/>
  <c r="F147" i="17"/>
  <c r="F146" i="17"/>
  <c r="F145" i="17"/>
  <c r="F144" i="17"/>
  <c r="F143" i="17"/>
  <c r="F142" i="17"/>
  <c r="F141" i="17"/>
  <c r="F140" i="17"/>
  <c r="F139" i="17"/>
  <c r="F138" i="17"/>
  <c r="F137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4" i="17"/>
  <c r="F135" i="17"/>
  <c r="F136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E123" i="17" s="1"/>
  <c r="L123" i="17" s="1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E80" i="17" s="1"/>
  <c r="D79" i="17"/>
  <c r="D78" i="17"/>
  <c r="D77" i="17"/>
  <c r="D76" i="17"/>
  <c r="D75" i="17"/>
  <c r="E75" i="17" s="1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E48" i="17" s="1"/>
  <c r="D47" i="17"/>
  <c r="D46" i="17"/>
  <c r="D45" i="17"/>
  <c r="D44" i="17"/>
  <c r="D43" i="17"/>
  <c r="E43" i="17" s="1"/>
  <c r="D42" i="17"/>
  <c r="D41" i="17"/>
  <c r="D40" i="17"/>
  <c r="D39" i="17"/>
  <c r="D38" i="17"/>
  <c r="D37" i="17"/>
  <c r="D36" i="17"/>
  <c r="D35" i="17"/>
  <c r="D34" i="17"/>
  <c r="D33" i="17"/>
  <c r="E27" i="17"/>
  <c r="D21" i="17"/>
  <c r="D20" i="17"/>
  <c r="D19" i="17"/>
  <c r="D18" i="17"/>
  <c r="D17" i="17"/>
  <c r="D16" i="17"/>
  <c r="E16" i="17" s="1"/>
  <c r="C147" i="17"/>
  <c r="C146" i="17"/>
  <c r="C145" i="17"/>
  <c r="C144" i="17"/>
  <c r="C143" i="17"/>
  <c r="E143" i="17" s="1"/>
  <c r="C142" i="17"/>
  <c r="E142" i="17" s="1"/>
  <c r="L142" i="17" s="1"/>
  <c r="C141" i="17"/>
  <c r="E141" i="17" s="1"/>
  <c r="C140" i="17"/>
  <c r="C139" i="17"/>
  <c r="C138" i="17"/>
  <c r="C137" i="17"/>
  <c r="C136" i="17"/>
  <c r="C135" i="17"/>
  <c r="C134" i="17"/>
  <c r="C133" i="17"/>
  <c r="C132" i="17"/>
  <c r="E132" i="17" s="1"/>
  <c r="C131" i="17"/>
  <c r="E131" i="17" s="1"/>
  <c r="C130" i="17"/>
  <c r="E130" i="17" s="1"/>
  <c r="C129" i="17"/>
  <c r="C128" i="17"/>
  <c r="C127" i="17"/>
  <c r="E127" i="17" s="1"/>
  <c r="L127" i="17" s="1"/>
  <c r="C126" i="17"/>
  <c r="C125" i="17"/>
  <c r="C124" i="17"/>
  <c r="C123" i="17"/>
  <c r="C122" i="17"/>
  <c r="C121" i="17"/>
  <c r="C120" i="17"/>
  <c r="C119" i="17"/>
  <c r="C118" i="17"/>
  <c r="E118" i="17" s="1"/>
  <c r="C117" i="17"/>
  <c r="E117" i="17" s="1"/>
  <c r="C116" i="17"/>
  <c r="E116" i="17" s="1"/>
  <c r="C115" i="17"/>
  <c r="E115" i="17" s="1"/>
  <c r="C114" i="17"/>
  <c r="C113" i="17"/>
  <c r="C112" i="17"/>
  <c r="C111" i="17"/>
  <c r="E111" i="17" s="1"/>
  <c r="C110" i="17"/>
  <c r="C109" i="17"/>
  <c r="C108" i="17"/>
  <c r="E108" i="17" s="1"/>
  <c r="C107" i="17"/>
  <c r="C106" i="17"/>
  <c r="C105" i="17"/>
  <c r="E105" i="17" s="1"/>
  <c r="C104" i="17"/>
  <c r="C103" i="17"/>
  <c r="E103" i="17" s="1"/>
  <c r="C102" i="17"/>
  <c r="C101" i="17"/>
  <c r="C100" i="17"/>
  <c r="C99" i="17"/>
  <c r="C98" i="17"/>
  <c r="C97" i="17"/>
  <c r="C96" i="17"/>
  <c r="C95" i="17"/>
  <c r="E95" i="17" s="1"/>
  <c r="C94" i="17"/>
  <c r="E94" i="17" s="1"/>
  <c r="C93" i="17"/>
  <c r="E93" i="17" s="1"/>
  <c r="C92" i="17"/>
  <c r="C91" i="17"/>
  <c r="C90" i="17"/>
  <c r="C89" i="17"/>
  <c r="C88" i="17"/>
  <c r="C87" i="17"/>
  <c r="C86" i="17"/>
  <c r="C85" i="17"/>
  <c r="C84" i="17"/>
  <c r="C83" i="17"/>
  <c r="E83" i="17" s="1"/>
  <c r="C82" i="17"/>
  <c r="E82" i="17" s="1"/>
  <c r="C81" i="17"/>
  <c r="E81" i="17" s="1"/>
  <c r="C80" i="17"/>
  <c r="C79" i="17"/>
  <c r="C78" i="17"/>
  <c r="C77" i="17"/>
  <c r="C76" i="17"/>
  <c r="C75" i="17"/>
  <c r="C74" i="17"/>
  <c r="C73" i="17"/>
  <c r="C72" i="17"/>
  <c r="C71" i="17"/>
  <c r="E71" i="17" s="1"/>
  <c r="C70" i="17"/>
  <c r="C69" i="17"/>
  <c r="C68" i="17"/>
  <c r="E68" i="17" s="1"/>
  <c r="C67" i="17"/>
  <c r="C66" i="17"/>
  <c r="C65" i="17"/>
  <c r="C64" i="17"/>
  <c r="C63" i="17"/>
  <c r="E63" i="17" s="1"/>
  <c r="C62" i="17"/>
  <c r="C61" i="17"/>
  <c r="C60" i="17"/>
  <c r="E60" i="17" s="1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E46" i="17" s="1"/>
  <c r="C45" i="17"/>
  <c r="C44" i="17"/>
  <c r="C43" i="17"/>
  <c r="C42" i="17"/>
  <c r="C41" i="17"/>
  <c r="C40" i="17"/>
  <c r="C39" i="17"/>
  <c r="C38" i="17"/>
  <c r="C37" i="17"/>
  <c r="C36" i="17"/>
  <c r="C35" i="17"/>
  <c r="C34" i="17"/>
  <c r="E34" i="17" s="1"/>
  <c r="C33" i="17"/>
  <c r="E31" i="17"/>
  <c r="C39" i="1"/>
  <c r="C38" i="1"/>
  <c r="C21" i="17"/>
  <c r="C20" i="17"/>
  <c r="C20" i="1" s="1"/>
  <c r="C19" i="17"/>
  <c r="H19" i="17" s="1"/>
  <c r="AA19" i="17" s="1"/>
  <c r="C18" i="17"/>
  <c r="C18" i="1" s="1"/>
  <c r="C17" i="17"/>
  <c r="C17" i="1" s="1"/>
  <c r="C16" i="17"/>
  <c r="C16" i="1" s="1"/>
  <c r="D16" i="1" s="1"/>
  <c r="F16" i="1" s="1"/>
  <c r="F175" i="17"/>
  <c r="H175" i="17" s="1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E147" i="17"/>
  <c r="E146" i="17"/>
  <c r="L146" i="17" s="1"/>
  <c r="E145" i="17"/>
  <c r="E140" i="17"/>
  <c r="L140" i="17" s="1"/>
  <c r="E137" i="17"/>
  <c r="L137" i="17" s="1"/>
  <c r="E135" i="17"/>
  <c r="E134" i="17"/>
  <c r="L134" i="17" s="1"/>
  <c r="E133" i="17"/>
  <c r="E128" i="17"/>
  <c r="E122" i="17"/>
  <c r="E109" i="17"/>
  <c r="E104" i="17"/>
  <c r="E101" i="17"/>
  <c r="E99" i="17"/>
  <c r="E97" i="17"/>
  <c r="E92" i="17"/>
  <c r="E89" i="17"/>
  <c r="E87" i="17"/>
  <c r="E86" i="17"/>
  <c r="E85" i="17"/>
  <c r="E79" i="17"/>
  <c r="E77" i="17"/>
  <c r="E73" i="17"/>
  <c r="E62" i="17"/>
  <c r="E56" i="17"/>
  <c r="E53" i="17"/>
  <c r="E50" i="17"/>
  <c r="E44" i="17"/>
  <c r="E39" i="17"/>
  <c r="E26" i="17"/>
  <c r="E23" i="17"/>
  <c r="E21" i="17"/>
  <c r="L21" i="17" s="1"/>
  <c r="H17" i="17"/>
  <c r="E17" i="17"/>
  <c r="L17" i="17" s="1"/>
  <c r="O16" i="17"/>
  <c r="D9" i="17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R9" i="17" s="1"/>
  <c r="S9" i="17" s="1"/>
  <c r="T9" i="17" s="1"/>
  <c r="F13" i="15"/>
  <c r="F12" i="15"/>
  <c r="D13" i="15"/>
  <c r="D12" i="15"/>
  <c r="D53" i="15" s="1"/>
  <c r="C13" i="15"/>
  <c r="C12" i="15"/>
  <c r="C58" i="15"/>
  <c r="B13" i="15"/>
  <c r="B58" i="15" s="1"/>
  <c r="B12" i="15"/>
  <c r="F11" i="15"/>
  <c r="D11" i="15"/>
  <c r="D37" i="15" s="1"/>
  <c r="C11" i="15"/>
  <c r="C40" i="15" s="1"/>
  <c r="B11" i="15"/>
  <c r="T69" i="16"/>
  <c r="R68" i="16"/>
  <c r="P68" i="16"/>
  <c r="O68" i="16"/>
  <c r="N68" i="16"/>
  <c r="M68" i="16"/>
  <c r="L68" i="16"/>
  <c r="S68" i="16" s="1"/>
  <c r="U68" i="16" s="1"/>
  <c r="K68" i="16"/>
  <c r="J68" i="16"/>
  <c r="Q68" i="16" s="1"/>
  <c r="I68" i="16"/>
  <c r="H68" i="16"/>
  <c r="S67" i="16"/>
  <c r="U67" i="16" s="1"/>
  <c r="P67" i="16"/>
  <c r="O67" i="16"/>
  <c r="N67" i="16"/>
  <c r="M67" i="16"/>
  <c r="L67" i="16"/>
  <c r="K67" i="16"/>
  <c r="J67" i="16"/>
  <c r="I67" i="16"/>
  <c r="H67" i="16"/>
  <c r="R67" i="16" s="1"/>
  <c r="G67" i="16"/>
  <c r="P66" i="16"/>
  <c r="O66" i="16"/>
  <c r="N66" i="16"/>
  <c r="M66" i="16"/>
  <c r="L66" i="16"/>
  <c r="K66" i="16"/>
  <c r="S66" i="16" s="1"/>
  <c r="U66" i="16" s="1"/>
  <c r="J66" i="16"/>
  <c r="I66" i="16"/>
  <c r="Q66" i="16" s="1"/>
  <c r="H66" i="16"/>
  <c r="R66" i="16" s="1"/>
  <c r="G66" i="16"/>
  <c r="R65" i="16"/>
  <c r="P65" i="16"/>
  <c r="O65" i="16"/>
  <c r="N65" i="16"/>
  <c r="M65" i="16"/>
  <c r="L65" i="16"/>
  <c r="K65" i="16"/>
  <c r="Q65" i="16" s="1"/>
  <c r="J65" i="16"/>
  <c r="I65" i="16"/>
  <c r="H65" i="16"/>
  <c r="G65" i="16"/>
  <c r="P64" i="16"/>
  <c r="O64" i="16"/>
  <c r="N64" i="16"/>
  <c r="M64" i="16"/>
  <c r="S64" i="16" s="1"/>
  <c r="U64" i="16" s="1"/>
  <c r="L64" i="16"/>
  <c r="K64" i="16"/>
  <c r="J64" i="16"/>
  <c r="I64" i="16"/>
  <c r="H64" i="16"/>
  <c r="R64" i="16" s="1"/>
  <c r="G64" i="16"/>
  <c r="P63" i="16"/>
  <c r="O63" i="16"/>
  <c r="S63" i="16" s="1"/>
  <c r="U63" i="16" s="1"/>
  <c r="N63" i="16"/>
  <c r="M63" i="16"/>
  <c r="L63" i="16"/>
  <c r="K63" i="16"/>
  <c r="J63" i="16"/>
  <c r="I63" i="16"/>
  <c r="H63" i="16"/>
  <c r="R63" i="16" s="1"/>
  <c r="G63" i="16"/>
  <c r="Q62" i="16"/>
  <c r="P62" i="16"/>
  <c r="O62" i="16"/>
  <c r="N62" i="16"/>
  <c r="M62" i="16"/>
  <c r="L62" i="16"/>
  <c r="K62" i="16"/>
  <c r="S62" i="16" s="1"/>
  <c r="U62" i="16" s="1"/>
  <c r="J62" i="16"/>
  <c r="I62" i="16"/>
  <c r="R62" i="16" s="1"/>
  <c r="H62" i="16"/>
  <c r="G62" i="16"/>
  <c r="S61" i="16"/>
  <c r="U61" i="16" s="1"/>
  <c r="P61" i="16"/>
  <c r="O61" i="16"/>
  <c r="N61" i="16"/>
  <c r="M61" i="16"/>
  <c r="L61" i="16"/>
  <c r="K61" i="16"/>
  <c r="J61" i="16"/>
  <c r="I61" i="16"/>
  <c r="H61" i="16"/>
  <c r="R61" i="16" s="1"/>
  <c r="G61" i="16"/>
  <c r="P60" i="16"/>
  <c r="O60" i="16"/>
  <c r="N60" i="16"/>
  <c r="M60" i="16"/>
  <c r="L60" i="16"/>
  <c r="K60" i="16"/>
  <c r="S60" i="16" s="1"/>
  <c r="U60" i="16" s="1"/>
  <c r="J60" i="16"/>
  <c r="I60" i="16"/>
  <c r="Q60" i="16" s="1"/>
  <c r="H60" i="16"/>
  <c r="R60" i="16" s="1"/>
  <c r="G60" i="16"/>
  <c r="R59" i="16"/>
  <c r="P59" i="16"/>
  <c r="O59" i="16"/>
  <c r="N59" i="16"/>
  <c r="M59" i="16"/>
  <c r="L59" i="16"/>
  <c r="L69" i="16" s="1"/>
  <c r="K59" i="16"/>
  <c r="K69" i="16" s="1"/>
  <c r="J59" i="16"/>
  <c r="I59" i="16"/>
  <c r="H59" i="16"/>
  <c r="G59" i="16"/>
  <c r="P58" i="16"/>
  <c r="O58" i="16"/>
  <c r="N58" i="16"/>
  <c r="M58" i="16"/>
  <c r="S58" i="16" s="1"/>
  <c r="U58" i="16" s="1"/>
  <c r="L58" i="16"/>
  <c r="K58" i="16"/>
  <c r="J58" i="16"/>
  <c r="I58" i="16"/>
  <c r="H58" i="16"/>
  <c r="R58" i="16" s="1"/>
  <c r="G58" i="16"/>
  <c r="P57" i="16"/>
  <c r="O57" i="16"/>
  <c r="S57" i="16" s="1"/>
  <c r="U57" i="16" s="1"/>
  <c r="N57" i="16"/>
  <c r="M57" i="16"/>
  <c r="L57" i="16"/>
  <c r="K57" i="16"/>
  <c r="J57" i="16"/>
  <c r="I57" i="16"/>
  <c r="Q57" i="16" s="1"/>
  <c r="H57" i="16"/>
  <c r="R57" i="16" s="1"/>
  <c r="P56" i="16"/>
  <c r="P69" i="16" s="1"/>
  <c r="P70" i="16" s="1"/>
  <c r="O56" i="16"/>
  <c r="O69" i="16" s="1"/>
  <c r="N56" i="16"/>
  <c r="N69" i="16" s="1"/>
  <c r="M56" i="16"/>
  <c r="M69" i="16" s="1"/>
  <c r="L56" i="16"/>
  <c r="K56" i="16"/>
  <c r="S56" i="16" s="1"/>
  <c r="J56" i="16"/>
  <c r="J69" i="16" s="1"/>
  <c r="J70" i="16" s="1"/>
  <c r="I56" i="16"/>
  <c r="H56" i="16"/>
  <c r="H69" i="16" s="1"/>
  <c r="P55" i="16"/>
  <c r="O55" i="16"/>
  <c r="N55" i="16"/>
  <c r="M55" i="16"/>
  <c r="L55" i="16"/>
  <c r="L70" i="16" s="1"/>
  <c r="K55" i="16"/>
  <c r="K70" i="16" s="1"/>
  <c r="J55" i="16"/>
  <c r="I55" i="16"/>
  <c r="H55" i="16"/>
  <c r="Q55" i="16" s="1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F69" i="15"/>
  <c r="F70" i="15" s="1"/>
  <c r="F71" i="15" s="1"/>
  <c r="F72" i="15" s="1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F161" i="15" s="1"/>
  <c r="F162" i="15" s="1"/>
  <c r="E69" i="15"/>
  <c r="E68" i="15"/>
  <c r="E67" i="15"/>
  <c r="F65" i="15"/>
  <c r="D65" i="15"/>
  <c r="F62" i="15"/>
  <c r="D60" i="15"/>
  <c r="F55" i="15"/>
  <c r="F53" i="15"/>
  <c r="C53" i="15"/>
  <c r="D51" i="15"/>
  <c r="F50" i="15"/>
  <c r="D48" i="15"/>
  <c r="D47" i="15"/>
  <c r="D44" i="15"/>
  <c r="B42" i="15"/>
  <c r="F41" i="15"/>
  <c r="M40" i="15"/>
  <c r="F40" i="15"/>
  <c r="D39" i="15"/>
  <c r="B39" i="15"/>
  <c r="F38" i="15"/>
  <c r="B38" i="15"/>
  <c r="E24" i="15"/>
  <c r="E22" i="15"/>
  <c r="E21" i="15"/>
  <c r="E20" i="15"/>
  <c r="E19" i="15"/>
  <c r="E18" i="15"/>
  <c r="E17" i="15"/>
  <c r="E16" i="15"/>
  <c r="E15" i="15"/>
  <c r="E14" i="15"/>
  <c r="F57" i="15"/>
  <c r="D55" i="15"/>
  <c r="F45" i="15"/>
  <c r="C48" i="15"/>
  <c r="B53" i="15"/>
  <c r="F42" i="15"/>
  <c r="D41" i="15"/>
  <c r="B40" i="15"/>
  <c r="B16" i="9"/>
  <c r="B27" i="9"/>
  <c r="B17" i="1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L24" i="11" l="1"/>
  <c r="L25" i="11"/>
  <c r="G19" i="1"/>
  <c r="J19" i="1" s="1"/>
  <c r="L133" i="17"/>
  <c r="E96" i="17"/>
  <c r="E144" i="17"/>
  <c r="L144" i="17" s="1"/>
  <c r="D13" i="21"/>
  <c r="Q16" i="1"/>
  <c r="C19" i="1"/>
  <c r="I26" i="17"/>
  <c r="H13" i="21"/>
  <c r="I13" i="21"/>
  <c r="E91" i="17"/>
  <c r="E107" i="17"/>
  <c r="E139" i="17"/>
  <c r="L139" i="17" s="1"/>
  <c r="M34" i="13"/>
  <c r="L135" i="17"/>
  <c r="L145" i="17"/>
  <c r="L122" i="17"/>
  <c r="CF54" i="18"/>
  <c r="F98" i="17" s="1"/>
  <c r="CO54" i="18"/>
  <c r="F107" i="17" s="1"/>
  <c r="BQ54" i="18"/>
  <c r="F83" i="17" s="1"/>
  <c r="L83" i="17" s="1"/>
  <c r="BE54" i="18"/>
  <c r="F71" i="17" s="1"/>
  <c r="L71" i="17" s="1"/>
  <c r="AG54" i="18"/>
  <c r="F47" i="17" s="1"/>
  <c r="U54" i="18"/>
  <c r="F35" i="17" s="1"/>
  <c r="BW54" i="18"/>
  <c r="F89" i="17" s="1"/>
  <c r="L89" i="17" s="1"/>
  <c r="L54" i="18"/>
  <c r="BV54" i="18"/>
  <c r="F88" i="17" s="1"/>
  <c r="K54" i="18"/>
  <c r="CP54" i="18"/>
  <c r="F108" i="17" s="1"/>
  <c r="V54" i="18"/>
  <c r="F36" i="17" s="1"/>
  <c r="AZ54" i="18"/>
  <c r="F66" i="17" s="1"/>
  <c r="BK54" i="18"/>
  <c r="F77" i="17" s="1"/>
  <c r="L77" i="17" s="1"/>
  <c r="AA54" i="18"/>
  <c r="F41" i="17" s="1"/>
  <c r="CU54" i="18"/>
  <c r="F113" i="17" s="1"/>
  <c r="BA54" i="18"/>
  <c r="F67" i="17" s="1"/>
  <c r="AY54" i="18"/>
  <c r="F65" i="17" s="1"/>
  <c r="AP54" i="18"/>
  <c r="F56" i="17" s="1"/>
  <c r="L56" i="17" s="1"/>
  <c r="O54" i="18"/>
  <c r="CZ54" i="18"/>
  <c r="F118" i="17" s="1"/>
  <c r="L118" i="17" s="1"/>
  <c r="AF54" i="18"/>
  <c r="F46" i="17" s="1"/>
  <c r="L46" i="17" s="1"/>
  <c r="F57" i="17"/>
  <c r="L53" i="17"/>
  <c r="L87" i="17"/>
  <c r="L97" i="17"/>
  <c r="E19" i="17"/>
  <c r="L19" i="17" s="1"/>
  <c r="L147" i="17"/>
  <c r="L132" i="17"/>
  <c r="I154" i="17"/>
  <c r="E54" i="17"/>
  <c r="H21" i="17"/>
  <c r="I18" i="17"/>
  <c r="I143" i="17"/>
  <c r="E40" i="17"/>
  <c r="E52" i="17"/>
  <c r="E64" i="17"/>
  <c r="E100" i="17"/>
  <c r="E136" i="17"/>
  <c r="E90" i="17"/>
  <c r="E138" i="17"/>
  <c r="L138" i="17" s="1"/>
  <c r="D12" i="19"/>
  <c r="L143" i="17"/>
  <c r="L131" i="17"/>
  <c r="L141" i="17"/>
  <c r="L136" i="17"/>
  <c r="L95" i="17"/>
  <c r="I28" i="17"/>
  <c r="I20" i="17"/>
  <c r="I17" i="17"/>
  <c r="M17" i="17" s="1"/>
  <c r="N17" i="17" s="1"/>
  <c r="I23" i="17"/>
  <c r="I21" i="17"/>
  <c r="H40" i="17"/>
  <c r="G17" i="17"/>
  <c r="L16" i="17"/>
  <c r="T54" i="18"/>
  <c r="F34" i="17" s="1"/>
  <c r="AD54" i="18"/>
  <c r="F44" i="17" s="1"/>
  <c r="L44" i="17" s="1"/>
  <c r="AN54" i="18"/>
  <c r="F54" i="17" s="1"/>
  <c r="BI54" i="18"/>
  <c r="F75" i="17" s="1"/>
  <c r="L75" i="17" s="1"/>
  <c r="BS54" i="18"/>
  <c r="F85" i="17" s="1"/>
  <c r="CN54" i="18"/>
  <c r="F106" i="17" s="1"/>
  <c r="CX54" i="18"/>
  <c r="J54" i="18"/>
  <c r="AE54" i="18"/>
  <c r="AO54" i="18"/>
  <c r="F55" i="17" s="1"/>
  <c r="BJ54" i="18"/>
  <c r="F76" i="17" s="1"/>
  <c r="BT54" i="18"/>
  <c r="F86" i="17" s="1"/>
  <c r="L86" i="17" s="1"/>
  <c r="CD54" i="18"/>
  <c r="F96" i="17" s="1"/>
  <c r="CY54" i="18"/>
  <c r="F117" i="17" s="1"/>
  <c r="L117" i="17" s="1"/>
  <c r="M54" i="18"/>
  <c r="W54" i="18"/>
  <c r="F37" i="17" s="1"/>
  <c r="AR54" i="18"/>
  <c r="F58" i="17" s="1"/>
  <c r="BB54" i="18"/>
  <c r="F68" i="17" s="1"/>
  <c r="L68" i="17" s="1"/>
  <c r="BL54" i="18"/>
  <c r="F78" i="17" s="1"/>
  <c r="CG54" i="18"/>
  <c r="F99" i="17" s="1"/>
  <c r="L99" i="17" s="1"/>
  <c r="CQ54" i="18"/>
  <c r="F109" i="17" s="1"/>
  <c r="L109" i="17" s="1"/>
  <c r="N54" i="18"/>
  <c r="X54" i="18"/>
  <c r="F38" i="17" s="1"/>
  <c r="AH54" i="18"/>
  <c r="F48" i="17" s="1"/>
  <c r="L48" i="17" s="1"/>
  <c r="BC54" i="18"/>
  <c r="BM54" i="18"/>
  <c r="F79" i="17" s="1"/>
  <c r="L79" i="17" s="1"/>
  <c r="CH54" i="18"/>
  <c r="F100" i="17" s="1"/>
  <c r="L100" i="17" s="1"/>
  <c r="CR54" i="18"/>
  <c r="F110" i="17" s="1"/>
  <c r="Y54" i="18"/>
  <c r="F39" i="17" s="1"/>
  <c r="AI54" i="18"/>
  <c r="F49" i="17" s="1"/>
  <c r="BD54" i="18"/>
  <c r="F70" i="17" s="1"/>
  <c r="BN54" i="18"/>
  <c r="F80" i="17" s="1"/>
  <c r="L80" i="17" s="1"/>
  <c r="BX54" i="18"/>
  <c r="F90" i="17" s="1"/>
  <c r="CS54" i="18"/>
  <c r="F111" i="17" s="1"/>
  <c r="L111" i="17" s="1"/>
  <c r="Z54" i="18"/>
  <c r="F40" i="17" s="1"/>
  <c r="AJ54" i="18"/>
  <c r="F50" i="17" s="1"/>
  <c r="L50" i="17" s="1"/>
  <c r="AT54" i="18"/>
  <c r="F60" i="17" s="1"/>
  <c r="BO54" i="18"/>
  <c r="BY54" i="18"/>
  <c r="F91" i="17" s="1"/>
  <c r="L91" i="17" s="1"/>
  <c r="CT54" i="18"/>
  <c r="F112" i="17" s="1"/>
  <c r="P54" i="18"/>
  <c r="AK54" i="18"/>
  <c r="F51" i="17" s="1"/>
  <c r="E26" i="22" s="1"/>
  <c r="AU54" i="18"/>
  <c r="F61" i="17" s="1"/>
  <c r="BP54" i="18"/>
  <c r="F82" i="17" s="1"/>
  <c r="L82" i="17" s="1"/>
  <c r="BZ54" i="18"/>
  <c r="F92" i="17" s="1"/>
  <c r="L92" i="17" s="1"/>
  <c r="CJ54" i="18"/>
  <c r="F102" i="17" s="1"/>
  <c r="Q54" i="18"/>
  <c r="AL54" i="18"/>
  <c r="F52" i="17" s="1"/>
  <c r="AV54" i="18"/>
  <c r="F62" i="17" s="1"/>
  <c r="L62" i="17" s="1"/>
  <c r="BF54" i="18"/>
  <c r="F72" i="17" s="1"/>
  <c r="CA54" i="18"/>
  <c r="CK54" i="18"/>
  <c r="F103" i="17" s="1"/>
  <c r="L103" i="17" s="1"/>
  <c r="H54" i="18"/>
  <c r="R54" i="18"/>
  <c r="AB54" i="18"/>
  <c r="F42" i="17" s="1"/>
  <c r="AW54" i="18"/>
  <c r="F63" i="17" s="1"/>
  <c r="L63" i="17" s="1"/>
  <c r="BG54" i="18"/>
  <c r="F73" i="17" s="1"/>
  <c r="L73" i="17" s="1"/>
  <c r="CB54" i="18"/>
  <c r="F94" i="17" s="1"/>
  <c r="L94" i="17" s="1"/>
  <c r="CL54" i="18"/>
  <c r="F104" i="17" s="1"/>
  <c r="L104" i="17" s="1"/>
  <c r="CV54" i="18"/>
  <c r="F114" i="17" s="1"/>
  <c r="S54" i="18"/>
  <c r="AC54" i="18"/>
  <c r="F43" i="17" s="1"/>
  <c r="L43" i="17" s="1"/>
  <c r="AX54" i="18"/>
  <c r="F64" i="17" s="1"/>
  <c r="BH54" i="18"/>
  <c r="F74" i="17" s="1"/>
  <c r="BR54" i="18"/>
  <c r="F84" i="17" s="1"/>
  <c r="CM54" i="18"/>
  <c r="CW54" i="18"/>
  <c r="F115" i="17" s="1"/>
  <c r="L115" i="17" s="1"/>
  <c r="H141" i="17"/>
  <c r="E24" i="17"/>
  <c r="I150" i="17"/>
  <c r="I160" i="17"/>
  <c r="I41" i="17"/>
  <c r="H45" i="17"/>
  <c r="H53" i="17"/>
  <c r="I59" i="17"/>
  <c r="AA17" i="17"/>
  <c r="H139" i="17"/>
  <c r="E22" i="17"/>
  <c r="E35" i="17"/>
  <c r="I39" i="17"/>
  <c r="E45" i="17"/>
  <c r="I61" i="17"/>
  <c r="H79" i="17"/>
  <c r="H83" i="17"/>
  <c r="H102" i="17"/>
  <c r="E102" i="17"/>
  <c r="H144" i="17"/>
  <c r="E25" i="17"/>
  <c r="L25" i="17" s="1"/>
  <c r="I27" i="17"/>
  <c r="E32" i="17"/>
  <c r="H54" i="17"/>
  <c r="I65" i="17"/>
  <c r="I69" i="17"/>
  <c r="E20" i="17"/>
  <c r="L20" i="17" s="1"/>
  <c r="I22" i="17"/>
  <c r="I24" i="17"/>
  <c r="I25" i="17"/>
  <c r="I151" i="17"/>
  <c r="I155" i="17"/>
  <c r="I40" i="17"/>
  <c r="H137" i="17"/>
  <c r="H134" i="17"/>
  <c r="H130" i="17"/>
  <c r="H126" i="17"/>
  <c r="H122" i="17"/>
  <c r="H118" i="17"/>
  <c r="H114" i="17"/>
  <c r="H101" i="17"/>
  <c r="H97" i="17"/>
  <c r="H93" i="17"/>
  <c r="H89" i="17"/>
  <c r="H128" i="17"/>
  <c r="H121" i="17"/>
  <c r="H116" i="17"/>
  <c r="H132" i="17"/>
  <c r="H120" i="17"/>
  <c r="H135" i="17"/>
  <c r="H68" i="17"/>
  <c r="H64" i="17"/>
  <c r="H60" i="17"/>
  <c r="H56" i="17"/>
  <c r="H52" i="17"/>
  <c r="H48" i="17"/>
  <c r="H100" i="17"/>
  <c r="H133" i="17"/>
  <c r="H124" i="17"/>
  <c r="H65" i="17"/>
  <c r="H112" i="17"/>
  <c r="H131" i="17"/>
  <c r="H81" i="17"/>
  <c r="H108" i="17"/>
  <c r="H85" i="17"/>
  <c r="H129" i="17"/>
  <c r="H123" i="17"/>
  <c r="H117" i="17"/>
  <c r="H98" i="17"/>
  <c r="H59" i="17"/>
  <c r="H90" i="17"/>
  <c r="H80" i="17"/>
  <c r="H71" i="17"/>
  <c r="H72" i="17"/>
  <c r="H57" i="17"/>
  <c r="H50" i="17"/>
  <c r="H82" i="17"/>
  <c r="H75" i="17"/>
  <c r="H63" i="17"/>
  <c r="H47" i="17"/>
  <c r="H41" i="17"/>
  <c r="H62" i="17"/>
  <c r="H145" i="17"/>
  <c r="G38" i="1"/>
  <c r="E29" i="17"/>
  <c r="I31" i="17"/>
  <c r="H35" i="17"/>
  <c r="I135" i="17"/>
  <c r="I107" i="17"/>
  <c r="I103" i="17"/>
  <c r="I99" i="17"/>
  <c r="I95" i="17"/>
  <c r="I91" i="17"/>
  <c r="I87" i="17"/>
  <c r="I83" i="17"/>
  <c r="I123" i="17"/>
  <c r="D172" i="17"/>
  <c r="I125" i="17"/>
  <c r="I113" i="17"/>
  <c r="I131" i="17"/>
  <c r="I100" i="17"/>
  <c r="I98" i="17"/>
  <c r="I90" i="17"/>
  <c r="I82" i="17"/>
  <c r="I80" i="17"/>
  <c r="I111" i="17"/>
  <c r="I127" i="17"/>
  <c r="I105" i="17"/>
  <c r="I115" i="17"/>
  <c r="I96" i="17"/>
  <c r="I89" i="17"/>
  <c r="I106" i="17"/>
  <c r="I81" i="17"/>
  <c r="I93" i="17"/>
  <c r="I79" i="17"/>
  <c r="I108" i="17"/>
  <c r="I85" i="17"/>
  <c r="I75" i="17"/>
  <c r="I109" i="17"/>
  <c r="I92" i="17"/>
  <c r="I101" i="17"/>
  <c r="I71" i="17"/>
  <c r="I52" i="17"/>
  <c r="I70" i="17"/>
  <c r="I68" i="17"/>
  <c r="I77" i="17"/>
  <c r="I48" i="17"/>
  <c r="I16" i="17"/>
  <c r="I73" i="17"/>
  <c r="I88" i="17"/>
  <c r="I64" i="17"/>
  <c r="I104" i="17"/>
  <c r="I60" i="17"/>
  <c r="I102" i="17"/>
  <c r="I97" i="17"/>
  <c r="I78" i="17"/>
  <c r="I56" i="17"/>
  <c r="I53" i="17"/>
  <c r="I44" i="17"/>
  <c r="S172" i="17"/>
  <c r="E18" i="17"/>
  <c r="H20" i="17"/>
  <c r="I35" i="17"/>
  <c r="H37" i="17"/>
  <c r="E37" i="17"/>
  <c r="H43" i="17"/>
  <c r="H58" i="17"/>
  <c r="H33" i="17"/>
  <c r="E33" i="17"/>
  <c r="H36" i="17"/>
  <c r="H38" i="17"/>
  <c r="I162" i="17"/>
  <c r="I43" i="17"/>
  <c r="H44" i="17"/>
  <c r="G16" i="17"/>
  <c r="I36" i="17"/>
  <c r="I157" i="17"/>
  <c r="I38" i="17"/>
  <c r="I47" i="17"/>
  <c r="H66" i="17"/>
  <c r="H70" i="17"/>
  <c r="H42" i="17"/>
  <c r="H34" i="17"/>
  <c r="E38" i="17"/>
  <c r="L107" i="17"/>
  <c r="I30" i="17"/>
  <c r="I55" i="17"/>
  <c r="H147" i="17"/>
  <c r="E28" i="17"/>
  <c r="I34" i="17"/>
  <c r="H39" i="17"/>
  <c r="E41" i="17"/>
  <c r="L41" i="17" s="1"/>
  <c r="I57" i="17"/>
  <c r="E57" i="17"/>
  <c r="L57" i="17" s="1"/>
  <c r="H61" i="17"/>
  <c r="H18" i="17"/>
  <c r="G18" i="1" s="1"/>
  <c r="J18" i="1" s="1"/>
  <c r="I149" i="17"/>
  <c r="I32" i="17"/>
  <c r="H16" i="17"/>
  <c r="H138" i="17"/>
  <c r="E30" i="17"/>
  <c r="H136" i="17"/>
  <c r="I19" i="17"/>
  <c r="H143" i="17"/>
  <c r="I153" i="17"/>
  <c r="I158" i="17"/>
  <c r="I170" i="17"/>
  <c r="I51" i="17"/>
  <c r="I164" i="17"/>
  <c r="E51" i="17"/>
  <c r="H73" i="17"/>
  <c r="H74" i="17"/>
  <c r="H91" i="17"/>
  <c r="I54" i="17"/>
  <c r="I74" i="17"/>
  <c r="L85" i="17"/>
  <c r="E88" i="17"/>
  <c r="H88" i="17"/>
  <c r="I94" i="17"/>
  <c r="E65" i="17"/>
  <c r="L65" i="17" s="1"/>
  <c r="I72" i="17"/>
  <c r="E72" i="17"/>
  <c r="E74" i="17"/>
  <c r="H77" i="17"/>
  <c r="H51" i="17"/>
  <c r="E55" i="17"/>
  <c r="E61" i="17"/>
  <c r="I66" i="17"/>
  <c r="E67" i="17"/>
  <c r="L67" i="17" s="1"/>
  <c r="H69" i="17"/>
  <c r="H84" i="17"/>
  <c r="I45" i="17"/>
  <c r="I58" i="17"/>
  <c r="E66" i="17"/>
  <c r="L66" i="17" s="1"/>
  <c r="I67" i="17"/>
  <c r="I84" i="17"/>
  <c r="E84" i="17"/>
  <c r="H87" i="17"/>
  <c r="I152" i="17"/>
  <c r="S186" i="17"/>
  <c r="I156" i="17"/>
  <c r="I168" i="17"/>
  <c r="E58" i="17"/>
  <c r="E69" i="17"/>
  <c r="E70" i="17"/>
  <c r="H140" i="17"/>
  <c r="S185" i="17"/>
  <c r="I148" i="17"/>
  <c r="S187" i="17"/>
  <c r="E49" i="17"/>
  <c r="L49" i="17" s="1"/>
  <c r="H55" i="17"/>
  <c r="E59" i="17"/>
  <c r="L59" i="17" s="1"/>
  <c r="H67" i="17"/>
  <c r="H76" i="17"/>
  <c r="H105" i="17"/>
  <c r="I159" i="17"/>
  <c r="I62" i="17"/>
  <c r="I76" i="17"/>
  <c r="E76" i="17"/>
  <c r="H86" i="17"/>
  <c r="L101" i="17"/>
  <c r="H49" i="17"/>
  <c r="I86" i="17"/>
  <c r="E113" i="17"/>
  <c r="L113" i="17" s="1"/>
  <c r="H113" i="17"/>
  <c r="E36" i="17"/>
  <c r="E42" i="17"/>
  <c r="E47" i="17"/>
  <c r="L47" i="17" s="1"/>
  <c r="I49" i="17"/>
  <c r="I139" i="17"/>
  <c r="H142" i="17"/>
  <c r="I29" i="17"/>
  <c r="I33" i="17"/>
  <c r="I37" i="17"/>
  <c r="H46" i="17"/>
  <c r="I166" i="17"/>
  <c r="I63" i="17"/>
  <c r="H78" i="17"/>
  <c r="E78" i="17"/>
  <c r="I161" i="17"/>
  <c r="I165" i="17"/>
  <c r="I169" i="17"/>
  <c r="H92" i="17"/>
  <c r="H107" i="17"/>
  <c r="E125" i="17"/>
  <c r="L125" i="17" s="1"/>
  <c r="H125" i="17"/>
  <c r="H119" i="17"/>
  <c r="H95" i="17"/>
  <c r="H106" i="17"/>
  <c r="E106" i="17"/>
  <c r="H115" i="17"/>
  <c r="I119" i="17"/>
  <c r="L128" i="17"/>
  <c r="H127" i="17"/>
  <c r="H94" i="17"/>
  <c r="I121" i="17"/>
  <c r="I42" i="17"/>
  <c r="I46" i="17"/>
  <c r="I50" i="17"/>
  <c r="H96" i="17"/>
  <c r="E98" i="17"/>
  <c r="L98" i="17" s="1"/>
  <c r="I163" i="17"/>
  <c r="I167" i="17"/>
  <c r="H99" i="17"/>
  <c r="H103" i="17"/>
  <c r="I133" i="17"/>
  <c r="H104" i="17"/>
  <c r="H110" i="17"/>
  <c r="E110" i="17"/>
  <c r="H111" i="17"/>
  <c r="I110" i="17"/>
  <c r="I114" i="17"/>
  <c r="E114" i="17"/>
  <c r="I145" i="17"/>
  <c r="H109" i="17"/>
  <c r="I117" i="17"/>
  <c r="I120" i="17"/>
  <c r="E120" i="17"/>
  <c r="L120" i="17" s="1"/>
  <c r="I126" i="17"/>
  <c r="E126" i="17"/>
  <c r="L126" i="17" s="1"/>
  <c r="I137" i="17"/>
  <c r="I141" i="17"/>
  <c r="L108" i="17"/>
  <c r="I129" i="17"/>
  <c r="I116" i="17"/>
  <c r="E121" i="17"/>
  <c r="L121" i="17" s="1"/>
  <c r="I128" i="17"/>
  <c r="E119" i="17"/>
  <c r="L119" i="17" s="1"/>
  <c r="I112" i="17"/>
  <c r="I124" i="17"/>
  <c r="E129" i="17"/>
  <c r="L129" i="17" s="1"/>
  <c r="E112" i="17"/>
  <c r="E124" i="17"/>
  <c r="L124" i="17" s="1"/>
  <c r="I122" i="17"/>
  <c r="I130" i="17"/>
  <c r="L130" i="17"/>
  <c r="I147" i="17"/>
  <c r="I132" i="17"/>
  <c r="H146" i="17"/>
  <c r="I118" i="17"/>
  <c r="I134" i="17"/>
  <c r="I136" i="17"/>
  <c r="I138" i="17"/>
  <c r="I140" i="17"/>
  <c r="I142" i="17"/>
  <c r="I144" i="17"/>
  <c r="I146" i="17"/>
  <c r="D40" i="15"/>
  <c r="D50" i="15"/>
  <c r="E53" i="15"/>
  <c r="C65" i="15"/>
  <c r="C60" i="15"/>
  <c r="C56" i="15"/>
  <c r="B61" i="15"/>
  <c r="B63" i="15"/>
  <c r="B65" i="15"/>
  <c r="E65" i="15" s="1"/>
  <c r="C37" i="15"/>
  <c r="E40" i="15"/>
  <c r="U56" i="16"/>
  <c r="M70" i="16"/>
  <c r="N70" i="16"/>
  <c r="O70" i="16"/>
  <c r="Q58" i="16"/>
  <c r="Q64" i="16"/>
  <c r="I69" i="16"/>
  <c r="I70" i="16" s="1"/>
  <c r="H70" i="16"/>
  <c r="S59" i="16"/>
  <c r="U59" i="16" s="1"/>
  <c r="S65" i="16"/>
  <c r="U65" i="16" s="1"/>
  <c r="Q59" i="16"/>
  <c r="Q61" i="16"/>
  <c r="Q67" i="16"/>
  <c r="R56" i="16"/>
  <c r="R69" i="16" s="1"/>
  <c r="Q63" i="16"/>
  <c r="Q56" i="16"/>
  <c r="B43" i="15"/>
  <c r="F37" i="15"/>
  <c r="C39" i="15"/>
  <c r="E39" i="15" s="1"/>
  <c r="D43" i="15"/>
  <c r="F44" i="15"/>
  <c r="D46" i="15"/>
  <c r="F48" i="15"/>
  <c r="C51" i="15"/>
  <c r="B56" i="15"/>
  <c r="E56" i="15" s="1"/>
  <c r="D58" i="15"/>
  <c r="E58" i="15" s="1"/>
  <c r="F60" i="15"/>
  <c r="C63" i="15"/>
  <c r="D63" i="15"/>
  <c r="C46" i="15"/>
  <c r="B49" i="15"/>
  <c r="C49" i="15"/>
  <c r="B54" i="15"/>
  <c r="D56" i="15"/>
  <c r="F58" i="15"/>
  <c r="C61" i="15"/>
  <c r="B66" i="15"/>
  <c r="E66" i="15" s="1"/>
  <c r="C43" i="15"/>
  <c r="F43" i="15"/>
  <c r="F46" i="15"/>
  <c r="F39" i="15"/>
  <c r="B47" i="15"/>
  <c r="D49" i="15"/>
  <c r="F51" i="15"/>
  <c r="C54" i="15"/>
  <c r="B59" i="15"/>
  <c r="D61" i="15"/>
  <c r="F63" i="15"/>
  <c r="C66" i="15"/>
  <c r="C47" i="15"/>
  <c r="B52" i="15"/>
  <c r="D54" i="15"/>
  <c r="F56" i="15"/>
  <c r="C59" i="15"/>
  <c r="B64" i="15"/>
  <c r="D66" i="15"/>
  <c r="B45" i="15"/>
  <c r="F49" i="15"/>
  <c r="C52" i="15"/>
  <c r="B57" i="15"/>
  <c r="D59" i="15"/>
  <c r="F61" i="15"/>
  <c r="C64" i="15"/>
  <c r="C42" i="15"/>
  <c r="C45" i="15"/>
  <c r="B50" i="15"/>
  <c r="D52" i="15"/>
  <c r="F54" i="15"/>
  <c r="C57" i="15"/>
  <c r="B62" i="15"/>
  <c r="D64" i="15"/>
  <c r="F66" i="15"/>
  <c r="B46" i="15"/>
  <c r="B51" i="15"/>
  <c r="E12" i="15"/>
  <c r="D23" i="15"/>
  <c r="D25" i="15" s="1"/>
  <c r="C38" i="15"/>
  <c r="B41" i="15"/>
  <c r="D42" i="15"/>
  <c r="D45" i="15"/>
  <c r="F47" i="15"/>
  <c r="C50" i="15"/>
  <c r="B55" i="15"/>
  <c r="D57" i="15"/>
  <c r="F59" i="15"/>
  <c r="C62" i="15"/>
  <c r="B23" i="15"/>
  <c r="C23" i="15"/>
  <c r="B37" i="15"/>
  <c r="D38" i="15"/>
  <c r="C41" i="15"/>
  <c r="B44" i="15"/>
  <c r="B48" i="15"/>
  <c r="E48" i="15" s="1"/>
  <c r="F52" i="15"/>
  <c r="C55" i="15"/>
  <c r="B60" i="15"/>
  <c r="E60" i="15" s="1"/>
  <c r="D62" i="15"/>
  <c r="F64" i="15"/>
  <c r="E13" i="15"/>
  <c r="E11" i="15"/>
  <c r="F23" i="15"/>
  <c r="C44" i="15"/>
  <c r="B14" i="3"/>
  <c r="B15" i="3" s="1"/>
  <c r="B16" i="3" s="1"/>
  <c r="B17" i="3" s="1"/>
  <c r="B18" i="3" s="1"/>
  <c r="B19" i="3" s="1"/>
  <c r="J38" i="1" l="1"/>
  <c r="L26" i="17"/>
  <c r="G17" i="1"/>
  <c r="J17" i="1" s="1"/>
  <c r="AA21" i="17"/>
  <c r="G21" i="1"/>
  <c r="J21" i="1" s="1"/>
  <c r="G20" i="1"/>
  <c r="J20" i="1" s="1"/>
  <c r="D15" i="22"/>
  <c r="D16" i="22" s="1"/>
  <c r="D11" i="21"/>
  <c r="L26" i="11"/>
  <c r="G16" i="1"/>
  <c r="H15" i="22"/>
  <c r="H16" i="22" s="1"/>
  <c r="H11" i="21"/>
  <c r="C15" i="22"/>
  <c r="C16" i="22" s="1"/>
  <c r="C11" i="21"/>
  <c r="J11" i="21"/>
  <c r="J15" i="22"/>
  <c r="J16" i="22" s="1"/>
  <c r="K13" i="21"/>
  <c r="L34" i="17"/>
  <c r="L88" i="17"/>
  <c r="G39" i="1"/>
  <c r="L27" i="17"/>
  <c r="C26" i="22"/>
  <c r="I15" i="22"/>
  <c r="I16" i="22" s="1"/>
  <c r="I11" i="21"/>
  <c r="L39" i="17"/>
  <c r="D26" i="22"/>
  <c r="AA31" i="17"/>
  <c r="E15" i="22"/>
  <c r="E16" i="22" s="1"/>
  <c r="E11" i="21"/>
  <c r="L70" i="17"/>
  <c r="L29" i="17"/>
  <c r="L61" i="17"/>
  <c r="L106" i="17"/>
  <c r="L78" i="17"/>
  <c r="L35" i="17"/>
  <c r="L22" i="17"/>
  <c r="L84" i="17"/>
  <c r="L58" i="17"/>
  <c r="L36" i="17"/>
  <c r="L24" i="17"/>
  <c r="L30" i="17"/>
  <c r="L51" i="17"/>
  <c r="L32" i="17"/>
  <c r="L37" i="17"/>
  <c r="L42" i="17"/>
  <c r="F178" i="17"/>
  <c r="H178" i="17" s="1"/>
  <c r="L54" i="17"/>
  <c r="L112" i="17"/>
  <c r="L110" i="17"/>
  <c r="L28" i="17"/>
  <c r="L38" i="17"/>
  <c r="L55" i="17"/>
  <c r="L74" i="17"/>
  <c r="L90" i="17"/>
  <c r="G179" i="17"/>
  <c r="F69" i="17"/>
  <c r="F179" i="17" s="1"/>
  <c r="L60" i="17"/>
  <c r="G176" i="17"/>
  <c r="F33" i="17"/>
  <c r="F45" i="17"/>
  <c r="M45" i="17" s="1"/>
  <c r="G177" i="17"/>
  <c r="L64" i="17"/>
  <c r="G180" i="17"/>
  <c r="F81" i="17"/>
  <c r="L81" i="17" s="1"/>
  <c r="L114" i="17"/>
  <c r="L76" i="17"/>
  <c r="L52" i="17"/>
  <c r="F116" i="17"/>
  <c r="M116" i="17" s="1"/>
  <c r="G183" i="17"/>
  <c r="L40" i="17"/>
  <c r="L31" i="17"/>
  <c r="L96" i="17"/>
  <c r="F105" i="17"/>
  <c r="L105" i="17" s="1"/>
  <c r="G182" i="17"/>
  <c r="L72" i="17"/>
  <c r="L102" i="17"/>
  <c r="M28" i="17"/>
  <c r="G181" i="17"/>
  <c r="F93" i="17"/>
  <c r="AA28" i="17"/>
  <c r="M21" i="17"/>
  <c r="N21" i="17" s="1"/>
  <c r="S188" i="17"/>
  <c r="D14" i="19"/>
  <c r="D16" i="19" s="1"/>
  <c r="AA40" i="17"/>
  <c r="G46" i="17"/>
  <c r="G18" i="17"/>
  <c r="G26" i="17"/>
  <c r="G39" i="17"/>
  <c r="G89" i="17"/>
  <c r="G19" i="17"/>
  <c r="G30" i="17"/>
  <c r="G142" i="17"/>
  <c r="G98" i="17"/>
  <c r="G53" i="17"/>
  <c r="G97" i="17"/>
  <c r="G99" i="17"/>
  <c r="G103" i="17"/>
  <c r="G76" i="17"/>
  <c r="G74" i="17"/>
  <c r="G32" i="17"/>
  <c r="G22" i="17"/>
  <c r="AA87" i="17"/>
  <c r="M87" i="17"/>
  <c r="N87" i="17" s="1"/>
  <c r="G120" i="17"/>
  <c r="G139" i="17"/>
  <c r="G115" i="17"/>
  <c r="G161" i="17"/>
  <c r="G159" i="17"/>
  <c r="G64" i="17"/>
  <c r="AA34" i="17"/>
  <c r="M34" i="17"/>
  <c r="AA30" i="17"/>
  <c r="M30" i="17"/>
  <c r="AA37" i="17"/>
  <c r="M37" i="17"/>
  <c r="AA35" i="17"/>
  <c r="M35" i="17"/>
  <c r="N35" i="17" s="1"/>
  <c r="AA98" i="17"/>
  <c r="M98" i="17"/>
  <c r="N98" i="17" s="1"/>
  <c r="M100" i="17"/>
  <c r="N100" i="17" s="1"/>
  <c r="AA100" i="17"/>
  <c r="AA128" i="17"/>
  <c r="M128" i="17"/>
  <c r="N128" i="17" s="1"/>
  <c r="AA137" i="17"/>
  <c r="M137" i="17"/>
  <c r="N137" i="17" s="1"/>
  <c r="G40" i="17"/>
  <c r="AA45" i="17"/>
  <c r="G84" i="17"/>
  <c r="M119" i="17"/>
  <c r="N119" i="17" s="1"/>
  <c r="AA119" i="17"/>
  <c r="G83" i="17"/>
  <c r="M86" i="17"/>
  <c r="N86" i="17" s="1"/>
  <c r="AA86" i="17"/>
  <c r="G71" i="17"/>
  <c r="G72" i="17"/>
  <c r="M138" i="17"/>
  <c r="N138" i="17" s="1"/>
  <c r="AA138" i="17"/>
  <c r="G57" i="17"/>
  <c r="G141" i="17"/>
  <c r="G127" i="17"/>
  <c r="G165" i="17"/>
  <c r="G163" i="17"/>
  <c r="G47" i="17"/>
  <c r="M47" i="17"/>
  <c r="N47" i="17" s="1"/>
  <c r="AA47" i="17"/>
  <c r="AA117" i="17"/>
  <c r="M117" i="17"/>
  <c r="N117" i="17" s="1"/>
  <c r="AA48" i="17"/>
  <c r="M48" i="17"/>
  <c r="N48" i="17" s="1"/>
  <c r="AA89" i="17"/>
  <c r="M89" i="17"/>
  <c r="N89" i="17" s="1"/>
  <c r="AA115" i="17"/>
  <c r="M115" i="17"/>
  <c r="N115" i="17" s="1"/>
  <c r="M142" i="17"/>
  <c r="N142" i="17" s="1"/>
  <c r="AA142" i="17"/>
  <c r="G68" i="17"/>
  <c r="AA69" i="17"/>
  <c r="G100" i="17"/>
  <c r="J145" i="17"/>
  <c r="K145" i="17" s="1"/>
  <c r="J141" i="17"/>
  <c r="K141" i="17" s="1"/>
  <c r="J137" i="17"/>
  <c r="K137" i="17" s="1"/>
  <c r="J133" i="17"/>
  <c r="K133" i="17" s="1"/>
  <c r="J129" i="17"/>
  <c r="K129" i="17" s="1"/>
  <c r="J146" i="17"/>
  <c r="K146" i="17" s="1"/>
  <c r="J143" i="17"/>
  <c r="K143" i="17" s="1"/>
  <c r="J139" i="17"/>
  <c r="K139" i="17" s="1"/>
  <c r="J135" i="17"/>
  <c r="K135" i="17" s="1"/>
  <c r="J131" i="17"/>
  <c r="K131" i="17" s="1"/>
  <c r="J122" i="17"/>
  <c r="K122" i="17" s="1"/>
  <c r="J117" i="17"/>
  <c r="K117" i="17" s="1"/>
  <c r="J130" i="17"/>
  <c r="K130" i="17" s="1"/>
  <c r="J124" i="17"/>
  <c r="K124" i="17" s="1"/>
  <c r="J112" i="17"/>
  <c r="K112" i="17" s="1"/>
  <c r="J106" i="17"/>
  <c r="K106" i="17" s="1"/>
  <c r="J102" i="17"/>
  <c r="K102" i="17" s="1"/>
  <c r="J98" i="17"/>
  <c r="K98" i="17" s="1"/>
  <c r="J94" i="17"/>
  <c r="K94" i="17" s="1"/>
  <c r="J90" i="17"/>
  <c r="K90" i="17" s="1"/>
  <c r="J110" i="17"/>
  <c r="K110" i="17" s="1"/>
  <c r="J126" i="17"/>
  <c r="K126" i="17" s="1"/>
  <c r="J121" i="17"/>
  <c r="K121" i="17" s="1"/>
  <c r="J114" i="17"/>
  <c r="K114" i="17" s="1"/>
  <c r="J107" i="17"/>
  <c r="K107" i="17" s="1"/>
  <c r="J103" i="17"/>
  <c r="K103" i="17" s="1"/>
  <c r="J99" i="17"/>
  <c r="K99" i="17" s="1"/>
  <c r="J95" i="17"/>
  <c r="K95" i="17" s="1"/>
  <c r="J91" i="17"/>
  <c r="K91" i="17" s="1"/>
  <c r="J87" i="17"/>
  <c r="K87" i="17" s="1"/>
  <c r="J83" i="17"/>
  <c r="K83" i="17" s="1"/>
  <c r="J79" i="17"/>
  <c r="K79" i="17" s="1"/>
  <c r="J75" i="17"/>
  <c r="K75" i="17" s="1"/>
  <c r="J71" i="17"/>
  <c r="K71" i="17" s="1"/>
  <c r="J128" i="17"/>
  <c r="K128" i="17" s="1"/>
  <c r="J116" i="17"/>
  <c r="J123" i="17"/>
  <c r="K123" i="17" s="1"/>
  <c r="J111" i="17"/>
  <c r="K111" i="17" s="1"/>
  <c r="J108" i="17"/>
  <c r="K108" i="17" s="1"/>
  <c r="J104" i="17"/>
  <c r="K104" i="17" s="1"/>
  <c r="J144" i="17"/>
  <c r="K144" i="17" s="1"/>
  <c r="J140" i="17"/>
  <c r="K140" i="17" s="1"/>
  <c r="J142" i="17"/>
  <c r="K142" i="17" s="1"/>
  <c r="J138" i="17"/>
  <c r="K138" i="17" s="1"/>
  <c r="J134" i="17"/>
  <c r="K134" i="17" s="1"/>
  <c r="J132" i="17"/>
  <c r="K132" i="17" s="1"/>
  <c r="J120" i="17"/>
  <c r="K120" i="17" s="1"/>
  <c r="J127" i="17"/>
  <c r="K127" i="17" s="1"/>
  <c r="J115" i="17"/>
  <c r="K115" i="17" s="1"/>
  <c r="J109" i="17"/>
  <c r="K109" i="17" s="1"/>
  <c r="J105" i="17"/>
  <c r="J101" i="17"/>
  <c r="K101" i="17" s="1"/>
  <c r="J97" i="17"/>
  <c r="K97" i="17" s="1"/>
  <c r="J93" i="17"/>
  <c r="K93" i="17" s="1"/>
  <c r="J89" i="17"/>
  <c r="K89" i="17" s="1"/>
  <c r="J85" i="17"/>
  <c r="K85" i="17" s="1"/>
  <c r="J81" i="17"/>
  <c r="J77" i="17"/>
  <c r="K77" i="17" s="1"/>
  <c r="J73" i="17"/>
  <c r="K73" i="17" s="1"/>
  <c r="J82" i="17"/>
  <c r="K82" i="17" s="1"/>
  <c r="J80" i="17"/>
  <c r="K80" i="17" s="1"/>
  <c r="J78" i="17"/>
  <c r="K78" i="17" s="1"/>
  <c r="J69" i="17"/>
  <c r="J118" i="17"/>
  <c r="K118" i="17" s="1"/>
  <c r="J147" i="17"/>
  <c r="K147" i="17" s="1"/>
  <c r="J96" i="17"/>
  <c r="K96" i="17" s="1"/>
  <c r="J86" i="17"/>
  <c r="K86" i="17" s="1"/>
  <c r="J74" i="17"/>
  <c r="K74" i="17" s="1"/>
  <c r="J72" i="17"/>
  <c r="K72" i="17" s="1"/>
  <c r="J66" i="17"/>
  <c r="K66" i="17" s="1"/>
  <c r="J62" i="17"/>
  <c r="K62" i="17" s="1"/>
  <c r="J58" i="17"/>
  <c r="K58" i="17" s="1"/>
  <c r="J54" i="17"/>
  <c r="K54" i="17" s="1"/>
  <c r="J50" i="17"/>
  <c r="K50" i="17" s="1"/>
  <c r="J46" i="17"/>
  <c r="K46" i="17" s="1"/>
  <c r="J136" i="17"/>
  <c r="K136" i="17" s="1"/>
  <c r="J70" i="17"/>
  <c r="K70" i="17" s="1"/>
  <c r="J125" i="17"/>
  <c r="K125" i="17" s="1"/>
  <c r="J119" i="17"/>
  <c r="K119" i="17" s="1"/>
  <c r="J88" i="17"/>
  <c r="K88" i="17" s="1"/>
  <c r="J113" i="17"/>
  <c r="K113" i="17" s="1"/>
  <c r="J92" i="17"/>
  <c r="K92" i="17" s="1"/>
  <c r="J68" i="17"/>
  <c r="K68" i="17" s="1"/>
  <c r="J64" i="17"/>
  <c r="K64" i="17" s="1"/>
  <c r="J60" i="17"/>
  <c r="K60" i="17" s="1"/>
  <c r="J56" i="17"/>
  <c r="K56" i="17" s="1"/>
  <c r="J52" i="17"/>
  <c r="K52" i="17" s="1"/>
  <c r="J48" i="17"/>
  <c r="K48" i="17" s="1"/>
  <c r="J44" i="17"/>
  <c r="K44" i="17" s="1"/>
  <c r="J40" i="17"/>
  <c r="K40" i="17" s="1"/>
  <c r="J49" i="17"/>
  <c r="K49" i="17" s="1"/>
  <c r="M16" i="17"/>
  <c r="N16" i="17" s="1"/>
  <c r="J76" i="17"/>
  <c r="K76" i="17" s="1"/>
  <c r="J55" i="17"/>
  <c r="K55" i="17" s="1"/>
  <c r="J67" i="17"/>
  <c r="K67" i="17" s="1"/>
  <c r="J61" i="17"/>
  <c r="K61" i="17" s="1"/>
  <c r="J41" i="17"/>
  <c r="K41" i="17" s="1"/>
  <c r="J84" i="17"/>
  <c r="K84" i="17" s="1"/>
  <c r="J43" i="17"/>
  <c r="K43" i="17" s="1"/>
  <c r="J65" i="17"/>
  <c r="K65" i="17" s="1"/>
  <c r="J51" i="17"/>
  <c r="J45" i="17"/>
  <c r="K45" i="17" s="1"/>
  <c r="J35" i="17"/>
  <c r="K35" i="17" s="1"/>
  <c r="J31" i="17"/>
  <c r="K31" i="17" s="1"/>
  <c r="J27" i="17"/>
  <c r="J23" i="17"/>
  <c r="J57" i="17"/>
  <c r="K57" i="17" s="1"/>
  <c r="J47" i="17"/>
  <c r="K47" i="17" s="1"/>
  <c r="J100" i="17"/>
  <c r="K100" i="17" s="1"/>
  <c r="J63" i="17"/>
  <c r="K63" i="17" s="1"/>
  <c r="J53" i="17"/>
  <c r="K53" i="17" s="1"/>
  <c r="J37" i="17"/>
  <c r="K37" i="17" s="1"/>
  <c r="J26" i="17"/>
  <c r="J16" i="17"/>
  <c r="K16" i="17" s="1"/>
  <c r="J18" i="17"/>
  <c r="K18" i="17" s="1"/>
  <c r="J20" i="17"/>
  <c r="K20" i="17" s="1"/>
  <c r="AA16" i="17"/>
  <c r="J36" i="17"/>
  <c r="K36" i="17" s="1"/>
  <c r="J32" i="17"/>
  <c r="K32" i="17" s="1"/>
  <c r="J29" i="17"/>
  <c r="K29" i="17" s="1"/>
  <c r="J28" i="17"/>
  <c r="K28" i="17" s="1"/>
  <c r="J25" i="17"/>
  <c r="J22" i="17"/>
  <c r="J33" i="17"/>
  <c r="J24" i="17"/>
  <c r="J21" i="17"/>
  <c r="K21" i="17" s="1"/>
  <c r="J17" i="17"/>
  <c r="K17" i="17" s="1"/>
  <c r="J59" i="17"/>
  <c r="K59" i="17" s="1"/>
  <c r="J39" i="17"/>
  <c r="J42" i="17"/>
  <c r="K42" i="17" s="1"/>
  <c r="J34" i="17"/>
  <c r="K34" i="17" s="1"/>
  <c r="J19" i="17"/>
  <c r="K19" i="17" s="1"/>
  <c r="J38" i="17"/>
  <c r="K38" i="17" s="1"/>
  <c r="J30" i="17"/>
  <c r="K30" i="17" s="1"/>
  <c r="G66" i="17"/>
  <c r="G61" i="17"/>
  <c r="G143" i="17"/>
  <c r="G152" i="17"/>
  <c r="G169" i="17"/>
  <c r="G167" i="17"/>
  <c r="AA42" i="17"/>
  <c r="M42" i="17"/>
  <c r="N42" i="17" s="1"/>
  <c r="AA44" i="17"/>
  <c r="M44" i="17"/>
  <c r="N44" i="17" s="1"/>
  <c r="G36" i="17"/>
  <c r="M63" i="17"/>
  <c r="N63" i="17" s="1"/>
  <c r="AA63" i="17"/>
  <c r="M123" i="17"/>
  <c r="N123" i="17" s="1"/>
  <c r="AA123" i="17"/>
  <c r="AA52" i="17"/>
  <c r="M52" i="17"/>
  <c r="N52" i="17" s="1"/>
  <c r="AA93" i="17"/>
  <c r="M93" i="17"/>
  <c r="AA54" i="17"/>
  <c r="M54" i="17"/>
  <c r="G42" i="17"/>
  <c r="M40" i="17"/>
  <c r="G88" i="17"/>
  <c r="M113" i="17"/>
  <c r="N113" i="17" s="1"/>
  <c r="AA113" i="17"/>
  <c r="M67" i="17"/>
  <c r="N67" i="17" s="1"/>
  <c r="AA67" i="17"/>
  <c r="G67" i="17"/>
  <c r="G51" i="17"/>
  <c r="G38" i="17"/>
  <c r="G58" i="17"/>
  <c r="G65" i="17"/>
  <c r="G145" i="17"/>
  <c r="G131" i="17"/>
  <c r="G158" i="17"/>
  <c r="M61" i="17"/>
  <c r="AA61" i="17"/>
  <c r="G92" i="17"/>
  <c r="AA29" i="17"/>
  <c r="M29" i="17"/>
  <c r="N29" i="17" s="1"/>
  <c r="AA75" i="17"/>
  <c r="M75" i="17"/>
  <c r="N75" i="17" s="1"/>
  <c r="AA129" i="17"/>
  <c r="M129" i="17"/>
  <c r="N129" i="17" s="1"/>
  <c r="AA56" i="17"/>
  <c r="M56" i="17"/>
  <c r="N56" i="17" s="1"/>
  <c r="AA97" i="17"/>
  <c r="M97" i="17"/>
  <c r="N97" i="17" s="1"/>
  <c r="G48" i="17"/>
  <c r="AA27" i="17"/>
  <c r="M27" i="17"/>
  <c r="N27" i="17" s="1"/>
  <c r="G25" i="17"/>
  <c r="AA106" i="17"/>
  <c r="M106" i="17"/>
  <c r="G121" i="17"/>
  <c r="E172" i="17"/>
  <c r="G162" i="17"/>
  <c r="M70" i="17"/>
  <c r="N70" i="17" s="1"/>
  <c r="AA70" i="17"/>
  <c r="AA58" i="17"/>
  <c r="M58" i="17"/>
  <c r="N58" i="17" s="1"/>
  <c r="M82" i="17"/>
  <c r="N82" i="17" s="1"/>
  <c r="AA82" i="17"/>
  <c r="AA85" i="17"/>
  <c r="M85" i="17"/>
  <c r="N85" i="17" s="1"/>
  <c r="AA60" i="17"/>
  <c r="M60" i="17"/>
  <c r="AA101" i="17"/>
  <c r="M101" i="17"/>
  <c r="N101" i="17" s="1"/>
  <c r="AA102" i="17"/>
  <c r="M102" i="17"/>
  <c r="G24" i="17"/>
  <c r="G106" i="17"/>
  <c r="M111" i="17"/>
  <c r="N111" i="17" s="1"/>
  <c r="AA111" i="17"/>
  <c r="G55" i="17"/>
  <c r="M74" i="17"/>
  <c r="N74" i="17" s="1"/>
  <c r="AA74" i="17"/>
  <c r="G87" i="17"/>
  <c r="G95" i="17"/>
  <c r="G148" i="17"/>
  <c r="G156" i="17"/>
  <c r="G166" i="17"/>
  <c r="G107" i="17"/>
  <c r="AA66" i="17"/>
  <c r="M66" i="17"/>
  <c r="N66" i="17" s="1"/>
  <c r="AA38" i="17"/>
  <c r="M38" i="17"/>
  <c r="N38" i="17" s="1"/>
  <c r="G54" i="17"/>
  <c r="M20" i="17"/>
  <c r="N20" i="17" s="1"/>
  <c r="AA20" i="17"/>
  <c r="AA26" i="17"/>
  <c r="M26" i="17"/>
  <c r="N26" i="17" s="1"/>
  <c r="AA50" i="17"/>
  <c r="M50" i="17"/>
  <c r="N50" i="17" s="1"/>
  <c r="M108" i="17"/>
  <c r="N108" i="17" s="1"/>
  <c r="AA108" i="17"/>
  <c r="AA64" i="17"/>
  <c r="M64" i="17"/>
  <c r="N64" i="17" s="1"/>
  <c r="M114" i="17"/>
  <c r="AA114" i="17"/>
  <c r="G28" i="17"/>
  <c r="G96" i="17"/>
  <c r="G104" i="17"/>
  <c r="G94" i="17"/>
  <c r="G126" i="17"/>
  <c r="M103" i="17"/>
  <c r="N103" i="17" s="1"/>
  <c r="AA103" i="17"/>
  <c r="G86" i="17"/>
  <c r="M78" i="17"/>
  <c r="N78" i="17" s="1"/>
  <c r="AA78" i="17"/>
  <c r="G147" i="17"/>
  <c r="M109" i="17"/>
  <c r="N109" i="17" s="1"/>
  <c r="AA109" i="17"/>
  <c r="M99" i="17"/>
  <c r="N99" i="17" s="1"/>
  <c r="AA99" i="17"/>
  <c r="M95" i="17"/>
  <c r="N95" i="17" s="1"/>
  <c r="AA95" i="17"/>
  <c r="G59" i="17"/>
  <c r="M55" i="17"/>
  <c r="N55" i="17" s="1"/>
  <c r="AA55" i="17"/>
  <c r="M88" i="17"/>
  <c r="N88" i="17" s="1"/>
  <c r="AA88" i="17"/>
  <c r="AA73" i="17"/>
  <c r="M73" i="17"/>
  <c r="N73" i="17" s="1"/>
  <c r="AA143" i="17"/>
  <c r="M143" i="17"/>
  <c r="N143" i="17" s="1"/>
  <c r="G77" i="17"/>
  <c r="G111" i="17"/>
  <c r="G119" i="17"/>
  <c r="G160" i="17"/>
  <c r="G170" i="17"/>
  <c r="G27" i="17"/>
  <c r="G21" i="17"/>
  <c r="L18" i="17"/>
  <c r="AA145" i="17"/>
  <c r="M145" i="17"/>
  <c r="N145" i="17" s="1"/>
  <c r="M57" i="17"/>
  <c r="N57" i="17" s="1"/>
  <c r="AA57" i="17"/>
  <c r="AA81" i="17"/>
  <c r="AA68" i="17"/>
  <c r="M68" i="17"/>
  <c r="N68" i="17" s="1"/>
  <c r="M118" i="17"/>
  <c r="N118" i="17" s="1"/>
  <c r="AA118" i="17"/>
  <c r="G31" i="17"/>
  <c r="AA83" i="17"/>
  <c r="M83" i="17"/>
  <c r="N83" i="17" s="1"/>
  <c r="AA139" i="17"/>
  <c r="M139" i="17"/>
  <c r="N139" i="17" s="1"/>
  <c r="G34" i="17"/>
  <c r="G130" i="17"/>
  <c r="AA94" i="17"/>
  <c r="M94" i="17"/>
  <c r="N94" i="17" s="1"/>
  <c r="G114" i="17"/>
  <c r="M125" i="17"/>
  <c r="N125" i="17" s="1"/>
  <c r="AA125" i="17"/>
  <c r="M91" i="17"/>
  <c r="N91" i="17" s="1"/>
  <c r="AA91" i="17"/>
  <c r="G52" i="17"/>
  <c r="G82" i="17"/>
  <c r="G110" i="17"/>
  <c r="M146" i="17"/>
  <c r="N146" i="17" s="1"/>
  <c r="AA146" i="17"/>
  <c r="G146" i="17"/>
  <c r="G102" i="17"/>
  <c r="M110" i="17"/>
  <c r="AA110" i="17"/>
  <c r="G109" i="17"/>
  <c r="G144" i="17"/>
  <c r="M104" i="17"/>
  <c r="N104" i="17" s="1"/>
  <c r="AA104" i="17"/>
  <c r="G78" i="17"/>
  <c r="G108" i="17"/>
  <c r="AA46" i="17"/>
  <c r="M46" i="17"/>
  <c r="N46" i="17" s="1"/>
  <c r="M49" i="17"/>
  <c r="N49" i="17" s="1"/>
  <c r="AA49" i="17"/>
  <c r="M51" i="17"/>
  <c r="N51" i="17" s="1"/>
  <c r="AA51" i="17"/>
  <c r="AA23" i="17"/>
  <c r="AA18" i="17"/>
  <c r="M18" i="17"/>
  <c r="G113" i="17"/>
  <c r="G118" i="17"/>
  <c r="G150" i="17"/>
  <c r="G164" i="17"/>
  <c r="G132" i="17"/>
  <c r="M39" i="17"/>
  <c r="N39" i="17" s="1"/>
  <c r="AA39" i="17"/>
  <c r="G60" i="17"/>
  <c r="M36" i="17"/>
  <c r="N36" i="17" s="1"/>
  <c r="AA36" i="17"/>
  <c r="G50" i="17"/>
  <c r="I172" i="17"/>
  <c r="G20" i="17"/>
  <c r="M72" i="17"/>
  <c r="N72" i="17" s="1"/>
  <c r="AA72" i="17"/>
  <c r="AA131" i="17"/>
  <c r="M131" i="17"/>
  <c r="N131" i="17" s="1"/>
  <c r="AA135" i="17"/>
  <c r="M135" i="17"/>
  <c r="N135" i="17" s="1"/>
  <c r="AA122" i="17"/>
  <c r="M122" i="17"/>
  <c r="N122" i="17" s="1"/>
  <c r="AA79" i="17"/>
  <c r="M79" i="17"/>
  <c r="N79" i="17" s="1"/>
  <c r="G128" i="17"/>
  <c r="G79" i="17"/>
  <c r="M107" i="17"/>
  <c r="N107" i="17" s="1"/>
  <c r="AA107" i="17"/>
  <c r="G43" i="17"/>
  <c r="G85" i="17"/>
  <c r="G125" i="17"/>
  <c r="G123" i="17"/>
  <c r="G112" i="17"/>
  <c r="G168" i="17"/>
  <c r="G136" i="17"/>
  <c r="G44" i="17"/>
  <c r="AA62" i="17"/>
  <c r="M62" i="17"/>
  <c r="N62" i="17" s="1"/>
  <c r="AA71" i="17"/>
  <c r="M71" i="17"/>
  <c r="N71" i="17" s="1"/>
  <c r="AA112" i="17"/>
  <c r="M112" i="17"/>
  <c r="AA120" i="17"/>
  <c r="M120" i="17"/>
  <c r="N120" i="17" s="1"/>
  <c r="M126" i="17"/>
  <c r="N126" i="17" s="1"/>
  <c r="AA126" i="17"/>
  <c r="G75" i="17"/>
  <c r="M31" i="17"/>
  <c r="G56" i="17"/>
  <c r="G138" i="17"/>
  <c r="AA127" i="17"/>
  <c r="M127" i="17"/>
  <c r="N127" i="17" s="1"/>
  <c r="G70" i="17"/>
  <c r="M92" i="17"/>
  <c r="N92" i="17" s="1"/>
  <c r="AA92" i="17"/>
  <c r="AA105" i="17"/>
  <c r="M136" i="17"/>
  <c r="N136" i="17" s="1"/>
  <c r="AA136" i="17"/>
  <c r="G41" i="17"/>
  <c r="G154" i="17"/>
  <c r="G133" i="17"/>
  <c r="G117" i="17"/>
  <c r="G149" i="17"/>
  <c r="G140" i="17"/>
  <c r="AA33" i="17"/>
  <c r="M43" i="17"/>
  <c r="N43" i="17" s="1"/>
  <c r="AA43" i="17"/>
  <c r="M41" i="17"/>
  <c r="N41" i="17" s="1"/>
  <c r="AA41" i="17"/>
  <c r="M80" i="17"/>
  <c r="N80" i="17" s="1"/>
  <c r="AA80" i="17"/>
  <c r="M65" i="17"/>
  <c r="N65" i="17" s="1"/>
  <c r="AA65" i="17"/>
  <c r="M132" i="17"/>
  <c r="N132" i="17" s="1"/>
  <c r="AA132" i="17"/>
  <c r="M130" i="17"/>
  <c r="N130" i="17" s="1"/>
  <c r="AA130" i="17"/>
  <c r="M25" i="17"/>
  <c r="N25" i="17" s="1"/>
  <c r="AA25" i="17"/>
  <c r="G90" i="17"/>
  <c r="M84" i="17"/>
  <c r="N84" i="17" s="1"/>
  <c r="AA84" i="17"/>
  <c r="AA77" i="17"/>
  <c r="M77" i="17"/>
  <c r="N77" i="17" s="1"/>
  <c r="G37" i="17"/>
  <c r="G73" i="17"/>
  <c r="G45" i="17"/>
  <c r="G135" i="17"/>
  <c r="G124" i="17"/>
  <c r="G153" i="17"/>
  <c r="G151" i="17"/>
  <c r="M147" i="17"/>
  <c r="N147" i="17" s="1"/>
  <c r="AA147" i="17"/>
  <c r="AA90" i="17"/>
  <c r="M90" i="17"/>
  <c r="N90" i="17" s="1"/>
  <c r="AA124" i="17"/>
  <c r="M124" i="17"/>
  <c r="N124" i="17" s="1"/>
  <c r="AA116" i="17"/>
  <c r="M134" i="17"/>
  <c r="N134" i="17" s="1"/>
  <c r="AA134" i="17"/>
  <c r="M144" i="17"/>
  <c r="N144" i="17" s="1"/>
  <c r="AA144" i="17"/>
  <c r="H185" i="17"/>
  <c r="M22" i="17"/>
  <c r="N22" i="17" s="1"/>
  <c r="AA22" i="17"/>
  <c r="G134" i="17"/>
  <c r="G80" i="17"/>
  <c r="M96" i="17"/>
  <c r="N96" i="17" s="1"/>
  <c r="AA96" i="17"/>
  <c r="G122" i="17"/>
  <c r="G101" i="17"/>
  <c r="M76" i="17"/>
  <c r="N76" i="17" s="1"/>
  <c r="AA76" i="17"/>
  <c r="M140" i="17"/>
  <c r="N140" i="17" s="1"/>
  <c r="AA140" i="17"/>
  <c r="G62" i="17"/>
  <c r="G91" i="17"/>
  <c r="G49" i="17"/>
  <c r="G137" i="17"/>
  <c r="G129" i="17"/>
  <c r="G157" i="17"/>
  <c r="G155" i="17"/>
  <c r="M19" i="17"/>
  <c r="N19" i="17" s="1"/>
  <c r="G29" i="17"/>
  <c r="M32" i="17"/>
  <c r="AA32" i="17"/>
  <c r="G63" i="17"/>
  <c r="M59" i="17"/>
  <c r="N59" i="17" s="1"/>
  <c r="AA59" i="17"/>
  <c r="AA133" i="17"/>
  <c r="M133" i="17"/>
  <c r="N133" i="17" s="1"/>
  <c r="AA121" i="17"/>
  <c r="M121" i="17"/>
  <c r="N121" i="17" s="1"/>
  <c r="M24" i="17"/>
  <c r="N24" i="17" s="1"/>
  <c r="AA24" i="17"/>
  <c r="M53" i="17"/>
  <c r="N53" i="17" s="1"/>
  <c r="AA53" i="17"/>
  <c r="AA141" i="17"/>
  <c r="M141" i="17"/>
  <c r="N141" i="17" s="1"/>
  <c r="G35" i="17"/>
  <c r="E51" i="15"/>
  <c r="K43" i="15"/>
  <c r="J39" i="15"/>
  <c r="E52" i="15"/>
  <c r="E63" i="15"/>
  <c r="E50" i="15"/>
  <c r="E47" i="15"/>
  <c r="K37" i="15"/>
  <c r="E61" i="15"/>
  <c r="E23" i="15"/>
  <c r="E25" i="15" s="1"/>
  <c r="E42" i="15"/>
  <c r="D163" i="15"/>
  <c r="M39" i="15" s="1"/>
  <c r="M41" i="15" s="1"/>
  <c r="C163" i="15"/>
  <c r="E41" i="15"/>
  <c r="Q69" i="16"/>
  <c r="S69" i="16"/>
  <c r="U69" i="16"/>
  <c r="B163" i="15"/>
  <c r="E37" i="15"/>
  <c r="F163" i="15"/>
  <c r="M43" i="15" s="1"/>
  <c r="I43" i="15"/>
  <c r="C25" i="15"/>
  <c r="E46" i="15"/>
  <c r="I39" i="15"/>
  <c r="F25" i="15"/>
  <c r="E57" i="15"/>
  <c r="E38" i="15"/>
  <c r="E59" i="15"/>
  <c r="E49" i="15"/>
  <c r="J37" i="15"/>
  <c r="K39" i="15"/>
  <c r="B25" i="15"/>
  <c r="E43" i="15"/>
  <c r="E55" i="15"/>
  <c r="E62" i="15"/>
  <c r="J43" i="15"/>
  <c r="E45" i="15"/>
  <c r="E44" i="15"/>
  <c r="E64" i="15"/>
  <c r="E54" i="15"/>
  <c r="B29" i="3"/>
  <c r="B58" i="3"/>
  <c r="B59" i="3" s="1"/>
  <c r="B60" i="3" s="1"/>
  <c r="B61" i="3" s="1"/>
  <c r="B62" i="3" s="1"/>
  <c r="B63" i="3" s="1"/>
  <c r="J39" i="1" l="1"/>
  <c r="B30" i="3"/>
  <c r="B31" i="3" s="1"/>
  <c r="B32" i="3" s="1"/>
  <c r="B33" i="3" s="1"/>
  <c r="B34" i="3" s="1"/>
  <c r="B44" i="3"/>
  <c r="B45" i="3" s="1"/>
  <c r="N32" i="17"/>
  <c r="N34" i="17"/>
  <c r="N110" i="17"/>
  <c r="K39" i="17"/>
  <c r="D27" i="22"/>
  <c r="D28" i="22" s="1"/>
  <c r="D30" i="22" s="1"/>
  <c r="N106" i="17"/>
  <c r="F176" i="17"/>
  <c r="H176" i="17" s="1"/>
  <c r="N61" i="17"/>
  <c r="K27" i="17"/>
  <c r="C27" i="22"/>
  <c r="C28" i="22" s="1"/>
  <c r="C30" i="22" s="1"/>
  <c r="K11" i="21"/>
  <c r="J16" i="1"/>
  <c r="H16" i="1"/>
  <c r="K51" i="17"/>
  <c r="E27" i="22"/>
  <c r="E28" i="22" s="1"/>
  <c r="E30" i="22" s="1"/>
  <c r="N37" i="17"/>
  <c r="N112" i="17"/>
  <c r="L27" i="11"/>
  <c r="N30" i="17"/>
  <c r="K33" i="17"/>
  <c r="N40" i="17"/>
  <c r="G33" i="17"/>
  <c r="M33" i="17"/>
  <c r="N54" i="17"/>
  <c r="G69" i="17"/>
  <c r="N31" i="17"/>
  <c r="N28" i="17"/>
  <c r="F177" i="17"/>
  <c r="H177" i="17" s="1"/>
  <c r="L45" i="17"/>
  <c r="M69" i="17"/>
  <c r="K81" i="17"/>
  <c r="N114" i="17"/>
  <c r="M105" i="17"/>
  <c r="N105" i="17" s="1"/>
  <c r="N102" i="17"/>
  <c r="K105" i="17"/>
  <c r="H179" i="17"/>
  <c r="M81" i="17"/>
  <c r="N81" i="17" s="1"/>
  <c r="G105" i="17"/>
  <c r="L33" i="17"/>
  <c r="N60" i="17"/>
  <c r="F172" i="17"/>
  <c r="L93" i="17"/>
  <c r="N93" i="17" s="1"/>
  <c r="F181" i="17"/>
  <c r="H181" i="17" s="1"/>
  <c r="F183" i="17"/>
  <c r="H183" i="17" s="1"/>
  <c r="L116" i="17"/>
  <c r="N116" i="17" s="1"/>
  <c r="G93" i="17"/>
  <c r="L69" i="17"/>
  <c r="G116" i="17"/>
  <c r="F180" i="17"/>
  <c r="H180" i="17" s="1"/>
  <c r="K69" i="17"/>
  <c r="F182" i="17"/>
  <c r="H182" i="17" s="1"/>
  <c r="G81" i="17"/>
  <c r="N45" i="17"/>
  <c r="K116" i="17"/>
  <c r="N18" i="17"/>
  <c r="G12" i="19"/>
  <c r="F14" i="19"/>
  <c r="H155" i="17"/>
  <c r="H152" i="17"/>
  <c r="H167" i="17"/>
  <c r="H148" i="17"/>
  <c r="H150" i="17"/>
  <c r="H156" i="17"/>
  <c r="H169" i="17"/>
  <c r="H161" i="17"/>
  <c r="H154" i="17"/>
  <c r="H157" i="17"/>
  <c r="H166" i="17"/>
  <c r="H162" i="17"/>
  <c r="H153" i="17"/>
  <c r="H158" i="17"/>
  <c r="H159" i="17"/>
  <c r="H168" i="17"/>
  <c r="H164" i="17"/>
  <c r="H151" i="17"/>
  <c r="H160" i="17"/>
  <c r="H165" i="17"/>
  <c r="H163" i="17"/>
  <c r="C172" i="17"/>
  <c r="H149" i="17"/>
  <c r="H170" i="17"/>
  <c r="M37" i="15"/>
  <c r="Q72" i="16"/>
  <c r="Q70" i="16"/>
  <c r="L39" i="15"/>
  <c r="L43" i="15"/>
  <c r="L37" i="15"/>
  <c r="E163" i="15"/>
  <c r="B46" i="3" l="1"/>
  <c r="B47" i="3" s="1"/>
  <c r="B48" i="3" s="1"/>
  <c r="B49" i="3" s="1"/>
  <c r="B50" i="3" s="1"/>
  <c r="B72" i="3"/>
  <c r="B73" i="3" s="1"/>
  <c r="B74" i="3" s="1"/>
  <c r="B75" i="3" s="1"/>
  <c r="B76" i="3" s="1"/>
  <c r="B77" i="3" s="1"/>
  <c r="N33" i="17"/>
  <c r="H17" i="1"/>
  <c r="H18" i="1" s="1"/>
  <c r="H19" i="1" s="1"/>
  <c r="H20" i="1" s="1"/>
  <c r="H21" i="1" s="1"/>
  <c r="I16" i="1"/>
  <c r="N69" i="17"/>
  <c r="L172" i="17"/>
  <c r="G14" i="19"/>
  <c r="M149" i="17"/>
  <c r="N149" i="17" s="1"/>
  <c r="AA149" i="17"/>
  <c r="M160" i="17"/>
  <c r="N160" i="17" s="1"/>
  <c r="AA160" i="17"/>
  <c r="AA166" i="17"/>
  <c r="M166" i="17"/>
  <c r="N166" i="17" s="1"/>
  <c r="M161" i="17"/>
  <c r="N161" i="17" s="1"/>
  <c r="AA161" i="17"/>
  <c r="AA156" i="17"/>
  <c r="M156" i="17"/>
  <c r="N156" i="17" s="1"/>
  <c r="J148" i="17"/>
  <c r="K148" i="17" s="1"/>
  <c r="J149" i="17"/>
  <c r="K149" i="17" s="1"/>
  <c r="J169" i="17"/>
  <c r="K169" i="17" s="1"/>
  <c r="J151" i="17"/>
  <c r="K151" i="17" s="1"/>
  <c r="J170" i="17"/>
  <c r="K170" i="17" s="1"/>
  <c r="J165" i="17"/>
  <c r="K165" i="17" s="1"/>
  <c r="J166" i="17"/>
  <c r="K166" i="17" s="1"/>
  <c r="J161" i="17"/>
  <c r="K161" i="17" s="1"/>
  <c r="J162" i="17"/>
  <c r="K162" i="17" s="1"/>
  <c r="J157" i="17"/>
  <c r="K157" i="17" s="1"/>
  <c r="H172" i="17"/>
  <c r="J158" i="17"/>
  <c r="K158" i="17" s="1"/>
  <c r="J167" i="17"/>
  <c r="K167" i="17" s="1"/>
  <c r="J154" i="17"/>
  <c r="K154" i="17" s="1"/>
  <c r="J168" i="17"/>
  <c r="K168" i="17" s="1"/>
  <c r="J163" i="17"/>
  <c r="K163" i="17" s="1"/>
  <c r="J155" i="17"/>
  <c r="K155" i="17" s="1"/>
  <c r="J150" i="17"/>
  <c r="K150" i="17" s="1"/>
  <c r="J164" i="17"/>
  <c r="K164" i="17" s="1"/>
  <c r="J159" i="17"/>
  <c r="K159" i="17" s="1"/>
  <c r="AA148" i="17"/>
  <c r="J160" i="17"/>
  <c r="K160" i="17" s="1"/>
  <c r="M148" i="17"/>
  <c r="N148" i="17" s="1"/>
  <c r="J156" i="17"/>
  <c r="K156" i="17" s="1"/>
  <c r="J153" i="17"/>
  <c r="K153" i="17" s="1"/>
  <c r="J152" i="17"/>
  <c r="K152" i="17" s="1"/>
  <c r="AA162" i="17"/>
  <c r="M162" i="17"/>
  <c r="N162" i="17" s="1"/>
  <c r="M157" i="17"/>
  <c r="N157" i="17" s="1"/>
  <c r="AA157" i="17"/>
  <c r="M163" i="17"/>
  <c r="N163" i="17" s="1"/>
  <c r="AA163" i="17"/>
  <c r="M169" i="17"/>
  <c r="N169" i="17" s="1"/>
  <c r="AA169" i="17"/>
  <c r="M167" i="17"/>
  <c r="N167" i="17" s="1"/>
  <c r="AA167" i="17"/>
  <c r="M170" i="17"/>
  <c r="N170" i="17" s="1"/>
  <c r="AA170" i="17"/>
  <c r="AA165" i="17"/>
  <c r="M165" i="17"/>
  <c r="N165" i="17" s="1"/>
  <c r="AA150" i="17"/>
  <c r="M150" i="17"/>
  <c r="N150" i="17" s="1"/>
  <c r="M159" i="17"/>
  <c r="N159" i="17" s="1"/>
  <c r="AA159" i="17"/>
  <c r="AA158" i="17"/>
  <c r="M158" i="17"/>
  <c r="N158" i="17" s="1"/>
  <c r="M152" i="17"/>
  <c r="N152" i="17" s="1"/>
  <c r="AA152" i="17"/>
  <c r="AA154" i="17"/>
  <c r="M154" i="17"/>
  <c r="N154" i="17" s="1"/>
  <c r="M151" i="17"/>
  <c r="N151" i="17" s="1"/>
  <c r="AA151" i="17"/>
  <c r="M164" i="17"/>
  <c r="N164" i="17" s="1"/>
  <c r="AA164" i="17"/>
  <c r="M168" i="17"/>
  <c r="N168" i="17" s="1"/>
  <c r="AA168" i="17"/>
  <c r="M153" i="17"/>
  <c r="N153" i="17" s="1"/>
  <c r="AA153" i="17"/>
  <c r="M155" i="17"/>
  <c r="N155" i="17" s="1"/>
  <c r="AA155" i="17"/>
  <c r="P16" i="17"/>
  <c r="O17" i="17"/>
  <c r="O18" i="17" s="1"/>
  <c r="O19" i="17" s="1"/>
  <c r="O20" i="17" s="1"/>
  <c r="O21" i="17" s="1"/>
  <c r="O22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  <c r="O67" i="17" s="1"/>
  <c r="O68" i="17" s="1"/>
  <c r="O69" i="17" s="1"/>
  <c r="P12" i="1" l="1"/>
  <c r="P12" i="11"/>
  <c r="F6" i="17"/>
  <c r="O70" i="17"/>
  <c r="O71" i="17" s="1"/>
  <c r="O72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O84" i="17" s="1"/>
  <c r="O85" i="17" s="1"/>
  <c r="O86" i="17" s="1"/>
  <c r="O87" i="17" s="1"/>
  <c r="O88" i="17" s="1"/>
  <c r="O89" i="17" s="1"/>
  <c r="O90" i="17" s="1"/>
  <c r="O91" i="17" s="1"/>
  <c r="O92" i="17" s="1"/>
  <c r="O93" i="17" s="1"/>
  <c r="O94" i="17" s="1"/>
  <c r="O95" i="17" s="1"/>
  <c r="O96" i="17" s="1"/>
  <c r="O97" i="17" s="1"/>
  <c r="O98" i="17" s="1"/>
  <c r="O99" i="17" s="1"/>
  <c r="O100" i="17" s="1"/>
  <c r="O101" i="17" s="1"/>
  <c r="O102" i="17" s="1"/>
  <c r="O103" i="17" s="1"/>
  <c r="O104" i="17" s="1"/>
  <c r="O105" i="17" s="1"/>
  <c r="O106" i="17" s="1"/>
  <c r="O107" i="17" s="1"/>
  <c r="O108" i="17" s="1"/>
  <c r="O109" i="17" s="1"/>
  <c r="O110" i="17" s="1"/>
  <c r="O111" i="17" s="1"/>
  <c r="O112" i="17" s="1"/>
  <c r="O113" i="17" s="1"/>
  <c r="O114" i="17" s="1"/>
  <c r="O115" i="17" s="1"/>
  <c r="O116" i="17" s="1"/>
  <c r="O117" i="17" s="1"/>
  <c r="O118" i="17" s="1"/>
  <c r="O119" i="17" s="1"/>
  <c r="O120" i="17" s="1"/>
  <c r="O121" i="17" s="1"/>
  <c r="O122" i="17" s="1"/>
  <c r="O123" i="17" s="1"/>
  <c r="O124" i="17" s="1"/>
  <c r="O125" i="17" s="1"/>
  <c r="O126" i="17" s="1"/>
  <c r="O127" i="17" s="1"/>
  <c r="O128" i="17" s="1"/>
  <c r="O129" i="17" s="1"/>
  <c r="O130" i="17" s="1"/>
  <c r="O131" i="17" s="1"/>
  <c r="O132" i="17" s="1"/>
  <c r="O133" i="17" s="1"/>
  <c r="O134" i="17" s="1"/>
  <c r="O135" i="17" s="1"/>
  <c r="O136" i="17" s="1"/>
  <c r="O137" i="17" s="1"/>
  <c r="O138" i="17" s="1"/>
  <c r="O139" i="17" s="1"/>
  <c r="O140" i="17" s="1"/>
  <c r="O141" i="17" s="1"/>
  <c r="O142" i="17" s="1"/>
  <c r="O143" i="17" s="1"/>
  <c r="O144" i="17" s="1"/>
  <c r="O145" i="17" s="1"/>
  <c r="O146" i="17" s="1"/>
  <c r="O147" i="17" s="1"/>
  <c r="O148" i="17" s="1"/>
  <c r="N172" i="17"/>
  <c r="M172" i="17"/>
  <c r="P17" i="17"/>
  <c r="Q16" i="17"/>
  <c r="W16" i="17" l="1"/>
  <c r="R16" i="17"/>
  <c r="O149" i="17"/>
  <c r="O150" i="17" s="1"/>
  <c r="O151" i="17" s="1"/>
  <c r="O152" i="17" s="1"/>
  <c r="O153" i="17" s="1"/>
  <c r="O154" i="17" s="1"/>
  <c r="O155" i="17" s="1"/>
  <c r="O156" i="17" s="1"/>
  <c r="O157" i="17" s="1"/>
  <c r="O158" i="17" s="1"/>
  <c r="O159" i="17" s="1"/>
  <c r="O160" i="17" s="1"/>
  <c r="O161" i="17" s="1"/>
  <c r="O162" i="17" s="1"/>
  <c r="O163" i="17" s="1"/>
  <c r="O164" i="17" s="1"/>
  <c r="O165" i="17" s="1"/>
  <c r="O166" i="17" s="1"/>
  <c r="O167" i="17" s="1"/>
  <c r="O168" i="17" s="1"/>
  <c r="O169" i="17" s="1"/>
  <c r="O170" i="17" s="1"/>
  <c r="P18" i="17"/>
  <c r="Q17" i="17"/>
  <c r="W17" i="17" l="1"/>
  <c r="R17" i="17"/>
  <c r="T16" i="17"/>
  <c r="T17" i="17"/>
  <c r="P19" i="17"/>
  <c r="Q18" i="17"/>
  <c r="W18" i="17" l="1"/>
  <c r="R18" i="17"/>
  <c r="P20" i="17"/>
  <c r="Q19" i="17"/>
  <c r="T18" i="17"/>
  <c r="W19" i="17" l="1"/>
  <c r="R19" i="17"/>
  <c r="P21" i="17"/>
  <c r="Q20" i="17"/>
  <c r="W20" i="17" l="1"/>
  <c r="R20" i="17"/>
  <c r="T20" i="17"/>
  <c r="P22" i="17"/>
  <c r="Q21" i="17"/>
  <c r="T19" i="17"/>
  <c r="W21" i="17" l="1"/>
  <c r="R21" i="17"/>
  <c r="Q22" i="17"/>
  <c r="R22" i="17" s="1"/>
  <c r="W22" i="17" l="1"/>
  <c r="T21" i="17"/>
  <c r="P24" i="17"/>
  <c r="W23" i="17" l="1"/>
  <c r="P25" i="17"/>
  <c r="Q24" i="17"/>
  <c r="T22" i="17"/>
  <c r="V22" i="17" s="1"/>
  <c r="R24" i="17" l="1"/>
  <c r="W24" i="17"/>
  <c r="T23" i="17"/>
  <c r="V23" i="17" s="1"/>
  <c r="T24" i="17"/>
  <c r="P26" i="17"/>
  <c r="Q25" i="17"/>
  <c r="R25" i="17" l="1"/>
  <c r="T25" i="17" s="1"/>
  <c r="W25" i="17"/>
  <c r="P27" i="17"/>
  <c r="C34" i="22" s="1"/>
  <c r="Q26" i="17"/>
  <c r="C37" i="22" l="1"/>
  <c r="R26" i="17"/>
  <c r="T26" i="17" s="1"/>
  <c r="W26" i="17"/>
  <c r="P28" i="17"/>
  <c r="Q27" i="17"/>
  <c r="C38" i="22" l="1"/>
  <c r="C39" i="22" s="1"/>
  <c r="C41" i="22" s="1"/>
  <c r="R27" i="17"/>
  <c r="C12" i="21" s="1"/>
  <c r="C15" i="21" s="1"/>
  <c r="C17" i="21" s="1"/>
  <c r="W27" i="17"/>
  <c r="C18" i="22" s="1"/>
  <c r="P29" i="17"/>
  <c r="Q28" i="17"/>
  <c r="C18" i="21" l="1"/>
  <c r="C19" i="21" s="1"/>
  <c r="C10" i="22" s="1"/>
  <c r="R28" i="17"/>
  <c r="W28" i="17"/>
  <c r="T28" i="17"/>
  <c r="P30" i="17"/>
  <c r="Q29" i="17"/>
  <c r="T27" i="17"/>
  <c r="C11" i="22" l="1"/>
  <c r="C12" i="22" s="1"/>
  <c r="C17" i="22" s="1"/>
  <c r="C19" i="22" s="1"/>
  <c r="C20" i="22" s="1"/>
  <c r="C21" i="22" s="1"/>
  <c r="R29" i="17"/>
  <c r="T29" i="17" s="1"/>
  <c r="W29" i="17"/>
  <c r="P31" i="17"/>
  <c r="Q30" i="17"/>
  <c r="R30" i="17" l="1"/>
  <c r="T30" i="17" s="1"/>
  <c r="W30" i="17"/>
  <c r="P32" i="17"/>
  <c r="Q31" i="17"/>
  <c r="R31" i="17" l="1"/>
  <c r="T31" i="17" s="1"/>
  <c r="W31" i="17"/>
  <c r="P33" i="17"/>
  <c r="Q32" i="17"/>
  <c r="R32" i="17" l="1"/>
  <c r="T32" i="17" s="1"/>
  <c r="W32" i="17"/>
  <c r="P34" i="17"/>
  <c r="Q33" i="17"/>
  <c r="R33" i="17" l="1"/>
  <c r="H12" i="21" s="1"/>
  <c r="W33" i="17"/>
  <c r="H18" i="22" s="1"/>
  <c r="P35" i="17"/>
  <c r="Q34" i="17"/>
  <c r="H15" i="21" l="1"/>
  <c r="H17" i="21" s="1"/>
  <c r="R34" i="17"/>
  <c r="W34" i="17"/>
  <c r="P36" i="17"/>
  <c r="Q35" i="17"/>
  <c r="T33" i="17"/>
  <c r="R185" i="17"/>
  <c r="I40" i="15" s="1"/>
  <c r="H18" i="21" l="1"/>
  <c r="H19" i="21" s="1"/>
  <c r="H10" i="22" s="1"/>
  <c r="R35" i="17"/>
  <c r="W35" i="17"/>
  <c r="I41" i="15"/>
  <c r="I44" i="15" s="1"/>
  <c r="P37" i="17"/>
  <c r="Q36" i="17"/>
  <c r="T34" i="17"/>
  <c r="H11" i="22" l="1"/>
  <c r="H12" i="22" s="1"/>
  <c r="H17" i="22" s="1"/>
  <c r="H19" i="22" s="1"/>
  <c r="H20" i="22" s="1"/>
  <c r="H21" i="22" s="1"/>
  <c r="H22" i="22" s="1"/>
  <c r="H24" i="22" s="1"/>
  <c r="T35" i="17"/>
  <c r="R36" i="17"/>
  <c r="W36" i="17"/>
  <c r="P38" i="17"/>
  <c r="Q37" i="17"/>
  <c r="R37" i="17" l="1"/>
  <c r="T37" i="17" s="1"/>
  <c r="W37" i="17"/>
  <c r="P39" i="17"/>
  <c r="D34" i="22" s="1"/>
  <c r="Q38" i="17"/>
  <c r="T36" i="17"/>
  <c r="D37" i="22" l="1"/>
  <c r="D38" i="22" s="1"/>
  <c r="R38" i="17"/>
  <c r="W38" i="17"/>
  <c r="P40" i="17"/>
  <c r="Q39" i="17"/>
  <c r="D39" i="22" l="1"/>
  <c r="D41" i="22" s="1"/>
  <c r="R39" i="17"/>
  <c r="D12" i="21" s="1"/>
  <c r="D15" i="21" s="1"/>
  <c r="D17" i="21" s="1"/>
  <c r="W39" i="17"/>
  <c r="D18" i="22" s="1"/>
  <c r="T39" i="17"/>
  <c r="P41" i="17"/>
  <c r="Q40" i="17"/>
  <c r="T38" i="17"/>
  <c r="D18" i="21" l="1"/>
  <c r="D19" i="21" s="1"/>
  <c r="D10" i="22" s="1"/>
  <c r="R40" i="17"/>
  <c r="W40" i="17"/>
  <c r="P42" i="17"/>
  <c r="Q41" i="17"/>
  <c r="D11" i="22" l="1"/>
  <c r="D12" i="22" s="1"/>
  <c r="D17" i="22" s="1"/>
  <c r="D19" i="22" s="1"/>
  <c r="R41" i="17"/>
  <c r="T41" i="17" s="1"/>
  <c r="W41" i="17"/>
  <c r="P43" i="17"/>
  <c r="Q42" i="17"/>
  <c r="T40" i="17"/>
  <c r="D20" i="22" l="1"/>
  <c r="D21" i="22" s="1"/>
  <c r="R42" i="17"/>
  <c r="W42" i="17"/>
  <c r="P44" i="17"/>
  <c r="Q43" i="17"/>
  <c r="R43" i="17" l="1"/>
  <c r="W43" i="17"/>
  <c r="T42" i="17"/>
  <c r="T43" i="17"/>
  <c r="P45" i="17"/>
  <c r="Q44" i="17"/>
  <c r="R44" i="17" l="1"/>
  <c r="W44" i="17"/>
  <c r="T44" i="17"/>
  <c r="P46" i="17"/>
  <c r="Q45" i="17"/>
  <c r="R45" i="17" l="1"/>
  <c r="I12" i="21" s="1"/>
  <c r="W45" i="17"/>
  <c r="I18" i="22" s="1"/>
  <c r="P47" i="17"/>
  <c r="Q46" i="17"/>
  <c r="I15" i="21" l="1"/>
  <c r="I17" i="21" s="1"/>
  <c r="R46" i="17"/>
  <c r="W46" i="17"/>
  <c r="T45" i="17"/>
  <c r="R186" i="17"/>
  <c r="J40" i="15" s="1"/>
  <c r="P48" i="17"/>
  <c r="Q47" i="17"/>
  <c r="I18" i="21" l="1"/>
  <c r="I19" i="21" s="1"/>
  <c r="I10" i="22" s="1"/>
  <c r="R47" i="17"/>
  <c r="W47" i="17"/>
  <c r="J41" i="15"/>
  <c r="J44" i="15" s="1"/>
  <c r="T47" i="17"/>
  <c r="P49" i="17"/>
  <c r="Q48" i="17"/>
  <c r="T46" i="17"/>
  <c r="I11" i="22" l="1"/>
  <c r="I12" i="22" s="1"/>
  <c r="I17" i="22" s="1"/>
  <c r="I19" i="22" s="1"/>
  <c r="R48" i="17"/>
  <c r="W48" i="17"/>
  <c r="P50" i="17"/>
  <c r="Q49" i="17"/>
  <c r="I20" i="22" l="1"/>
  <c r="I21" i="22" s="1"/>
  <c r="I22" i="22" s="1"/>
  <c r="I24" i="22" s="1"/>
  <c r="R49" i="17"/>
  <c r="W49" i="17"/>
  <c r="T49" i="17"/>
  <c r="P51" i="17"/>
  <c r="E34" i="22" s="1"/>
  <c r="Q50" i="17"/>
  <c r="T48" i="17"/>
  <c r="E37" i="22" l="1"/>
  <c r="E38" i="22" s="1"/>
  <c r="R50" i="17"/>
  <c r="W50" i="17"/>
  <c r="P52" i="17"/>
  <c r="Q51" i="17"/>
  <c r="E39" i="22" l="1"/>
  <c r="E41" i="22" s="1"/>
  <c r="R51" i="17"/>
  <c r="E12" i="21" s="1"/>
  <c r="E15" i="21" s="1"/>
  <c r="E17" i="21" s="1"/>
  <c r="W51" i="17"/>
  <c r="E18" i="22" s="1"/>
  <c r="T51" i="17"/>
  <c r="P53" i="17"/>
  <c r="Q52" i="17"/>
  <c r="T50" i="17"/>
  <c r="E18" i="21" l="1"/>
  <c r="E19" i="21" s="1"/>
  <c r="E10" i="22" s="1"/>
  <c r="R52" i="17"/>
  <c r="W52" i="17"/>
  <c r="P54" i="17"/>
  <c r="Q53" i="17"/>
  <c r="E11" i="22" l="1"/>
  <c r="E12" i="22" s="1"/>
  <c r="E17" i="22" s="1"/>
  <c r="E19" i="22" s="1"/>
  <c r="E20" i="22" s="1"/>
  <c r="E21" i="22" s="1"/>
  <c r="R53" i="17"/>
  <c r="W53" i="17"/>
  <c r="T53" i="17"/>
  <c r="P55" i="17"/>
  <c r="Q54" i="17"/>
  <c r="T52" i="17"/>
  <c r="R54" i="17" l="1"/>
  <c r="W54" i="17"/>
  <c r="P56" i="17"/>
  <c r="Q55" i="17"/>
  <c r="R55" i="17" l="1"/>
  <c r="T55" i="17" s="1"/>
  <c r="W55" i="17"/>
  <c r="P57" i="17"/>
  <c r="Q56" i="17"/>
  <c r="T54" i="17"/>
  <c r="R56" i="17" l="1"/>
  <c r="T56" i="17" s="1"/>
  <c r="W56" i="17"/>
  <c r="P58" i="17"/>
  <c r="Q57" i="17"/>
  <c r="R57" i="17" l="1"/>
  <c r="J12" i="21" s="1"/>
  <c r="W57" i="17"/>
  <c r="J18" i="22" s="1"/>
  <c r="P59" i="17"/>
  <c r="Q58" i="17"/>
  <c r="J15" i="21" l="1"/>
  <c r="J17" i="21" s="1"/>
  <c r="K12" i="21"/>
  <c r="R58" i="17"/>
  <c r="W58" i="17"/>
  <c r="T58" i="17"/>
  <c r="P60" i="17"/>
  <c r="Q59" i="17"/>
  <c r="T57" i="17"/>
  <c r="R189" i="17"/>
  <c r="R187" i="17"/>
  <c r="J18" i="21" l="1"/>
  <c r="J19" i="21" s="1"/>
  <c r="J10" i="22" s="1"/>
  <c r="R59" i="17"/>
  <c r="W59" i="17"/>
  <c r="R188" i="17"/>
  <c r="K40" i="15"/>
  <c r="P61" i="17"/>
  <c r="Q60" i="17"/>
  <c r="T59" i="17"/>
  <c r="J11" i="22" l="1"/>
  <c r="J12" i="22" s="1"/>
  <c r="J17" i="22" s="1"/>
  <c r="J19" i="22" s="1"/>
  <c r="R60" i="17"/>
  <c r="W60" i="17"/>
  <c r="K41" i="15"/>
  <c r="K44" i="15" s="1"/>
  <c r="L40" i="15"/>
  <c r="L41" i="15" s="1"/>
  <c r="L44" i="15" s="1"/>
  <c r="T60" i="17"/>
  <c r="P62" i="17"/>
  <c r="Q61" i="17"/>
  <c r="J20" i="22" l="1"/>
  <c r="J21" i="22" s="1"/>
  <c r="J22" i="22" s="1"/>
  <c r="J24" i="22" s="1"/>
  <c r="R61" i="17"/>
  <c r="T61" i="17" s="1"/>
  <c r="W61" i="17"/>
  <c r="P63" i="17"/>
  <c r="Q62" i="17"/>
  <c r="R62" i="17" l="1"/>
  <c r="T62" i="17" s="1"/>
  <c r="W62" i="17"/>
  <c r="P64" i="17"/>
  <c r="Q63" i="17"/>
  <c r="R63" i="17" l="1"/>
  <c r="W63" i="17"/>
  <c r="T63" i="17"/>
  <c r="P65" i="17"/>
  <c r="Q64" i="17"/>
  <c r="R64" i="17" l="1"/>
  <c r="T64" i="17" s="1"/>
  <c r="W64" i="17"/>
  <c r="P66" i="17"/>
  <c r="Q65" i="17"/>
  <c r="R65" i="17" l="1"/>
  <c r="W65" i="17"/>
  <c r="T65" i="17"/>
  <c r="P67" i="17"/>
  <c r="Q66" i="17"/>
  <c r="R66" i="17" l="1"/>
  <c r="T66" i="17" s="1"/>
  <c r="W66" i="17"/>
  <c r="P68" i="17"/>
  <c r="Q67" i="17"/>
  <c r="R67" i="17" l="1"/>
  <c r="T67" i="17" s="1"/>
  <c r="W67" i="17"/>
  <c r="P69" i="17"/>
  <c r="Q68" i="17"/>
  <c r="R68" i="17" l="1"/>
  <c r="W68" i="17"/>
  <c r="P70" i="17"/>
  <c r="Q69" i="17"/>
  <c r="T68" i="17"/>
  <c r="R69" i="17" l="1"/>
  <c r="W69" i="17"/>
  <c r="T69" i="17"/>
  <c r="P71" i="17"/>
  <c r="Q70" i="17"/>
  <c r="R70" i="17" l="1"/>
  <c r="T70" i="17" s="1"/>
  <c r="W70" i="17"/>
  <c r="P72" i="17"/>
  <c r="Q71" i="17"/>
  <c r="R71" i="17" l="1"/>
  <c r="T71" i="17" s="1"/>
  <c r="W71" i="17"/>
  <c r="P73" i="17"/>
  <c r="Q72" i="17"/>
  <c r="R72" i="17" l="1"/>
  <c r="W72" i="17"/>
  <c r="P74" i="17"/>
  <c r="Q73" i="17"/>
  <c r="T72" i="17"/>
  <c r="R73" i="17" l="1"/>
  <c r="T73" i="17" s="1"/>
  <c r="W73" i="17"/>
  <c r="P75" i="17"/>
  <c r="Q74" i="17"/>
  <c r="R74" i="17" l="1"/>
  <c r="T74" i="17" s="1"/>
  <c r="W74" i="17"/>
  <c r="P76" i="17"/>
  <c r="Q75" i="17"/>
  <c r="R75" i="17" l="1"/>
  <c r="W75" i="17"/>
  <c r="T75" i="17"/>
  <c r="P77" i="17"/>
  <c r="Q76" i="17"/>
  <c r="R76" i="17" l="1"/>
  <c r="T76" i="17" s="1"/>
  <c r="W76" i="17"/>
  <c r="P78" i="17"/>
  <c r="Q77" i="17"/>
  <c r="R77" i="17" l="1"/>
  <c r="T77" i="17" s="1"/>
  <c r="W77" i="17"/>
  <c r="P79" i="17"/>
  <c r="Q78" i="17"/>
  <c r="R78" i="17" l="1"/>
  <c r="T78" i="17" s="1"/>
  <c r="W78" i="17"/>
  <c r="P80" i="17"/>
  <c r="Q79" i="17"/>
  <c r="R79" i="17" l="1"/>
  <c r="W79" i="17"/>
  <c r="T79" i="17"/>
  <c r="P81" i="17"/>
  <c r="Q80" i="17"/>
  <c r="R80" i="17" l="1"/>
  <c r="T80" i="17" s="1"/>
  <c r="W80" i="17"/>
  <c r="P82" i="17"/>
  <c r="Q81" i="17"/>
  <c r="R81" i="17" l="1"/>
  <c r="T81" i="17" s="1"/>
  <c r="W81" i="17"/>
  <c r="P83" i="17"/>
  <c r="Q82" i="17"/>
  <c r="R82" i="17" l="1"/>
  <c r="T82" i="17" s="1"/>
  <c r="W82" i="17"/>
  <c r="P84" i="17"/>
  <c r="Q83" i="17"/>
  <c r="R83" i="17" l="1"/>
  <c r="T83" i="17" s="1"/>
  <c r="W83" i="17"/>
  <c r="P85" i="17"/>
  <c r="Q84" i="17"/>
  <c r="R84" i="17" l="1"/>
  <c r="T84" i="17" s="1"/>
  <c r="W84" i="17"/>
  <c r="P86" i="17"/>
  <c r="Q85" i="17"/>
  <c r="R85" i="17" l="1"/>
  <c r="W85" i="17"/>
  <c r="T85" i="17"/>
  <c r="P87" i="17"/>
  <c r="Q86" i="17"/>
  <c r="R86" i="17" l="1"/>
  <c r="T86" i="17" s="1"/>
  <c r="W86" i="17"/>
  <c r="P88" i="17"/>
  <c r="Q87" i="17"/>
  <c r="R87" i="17" l="1"/>
  <c r="W87" i="17"/>
  <c r="T87" i="17"/>
  <c r="P89" i="17"/>
  <c r="Q88" i="17"/>
  <c r="R88" i="17" l="1"/>
  <c r="T88" i="17" s="1"/>
  <c r="W88" i="17"/>
  <c r="P90" i="17"/>
  <c r="Q89" i="17"/>
  <c r="R89" i="17" l="1"/>
  <c r="T89" i="17" s="1"/>
  <c r="W89" i="17"/>
  <c r="P91" i="17"/>
  <c r="Q90" i="17"/>
  <c r="R90" i="17" l="1"/>
  <c r="T90" i="17" s="1"/>
  <c r="W90" i="17"/>
  <c r="P92" i="17"/>
  <c r="Q91" i="17"/>
  <c r="R91" i="17" l="1"/>
  <c r="T91" i="17" s="1"/>
  <c r="W91" i="17"/>
  <c r="P93" i="17"/>
  <c r="Q92" i="17"/>
  <c r="R92" i="17" l="1"/>
  <c r="T92" i="17" s="1"/>
  <c r="W92" i="17"/>
  <c r="P94" i="17"/>
  <c r="Q93" i="17"/>
  <c r="R93" i="17" l="1"/>
  <c r="T93" i="17" s="1"/>
  <c r="W93" i="17"/>
  <c r="P95" i="17"/>
  <c r="Q94" i="17"/>
  <c r="R94" i="17" l="1"/>
  <c r="T94" i="17" s="1"/>
  <c r="W94" i="17"/>
  <c r="P96" i="17"/>
  <c r="Q95" i="17"/>
  <c r="R95" i="17" l="1"/>
  <c r="W95" i="17"/>
  <c r="P97" i="17"/>
  <c r="Q96" i="17"/>
  <c r="T95" i="17"/>
  <c r="R96" i="17" l="1"/>
  <c r="W96" i="17"/>
  <c r="T96" i="17"/>
  <c r="P98" i="17"/>
  <c r="Q97" i="17"/>
  <c r="R97" i="17" l="1"/>
  <c r="T97" i="17" s="1"/>
  <c r="W97" i="17"/>
  <c r="P99" i="17"/>
  <c r="Q98" i="17"/>
  <c r="R98" i="17" l="1"/>
  <c r="W98" i="17"/>
  <c r="T98" i="17"/>
  <c r="P100" i="17"/>
  <c r="Q99" i="17"/>
  <c r="R99" i="17" l="1"/>
  <c r="T99" i="17" s="1"/>
  <c r="W99" i="17"/>
  <c r="P101" i="17"/>
  <c r="Q100" i="17"/>
  <c r="R100" i="17" l="1"/>
  <c r="W100" i="17"/>
  <c r="T100" i="17"/>
  <c r="P102" i="17"/>
  <c r="Q101" i="17"/>
  <c r="R101" i="17" l="1"/>
  <c r="W101" i="17"/>
  <c r="T101" i="17"/>
  <c r="P103" i="17"/>
  <c r="Q102" i="17"/>
  <c r="R102" i="17" l="1"/>
  <c r="W102" i="17"/>
  <c r="T102" i="17"/>
  <c r="P104" i="17"/>
  <c r="Q103" i="17"/>
  <c r="R103" i="17" l="1"/>
  <c r="W103" i="17"/>
  <c r="T103" i="17"/>
  <c r="P105" i="17"/>
  <c r="Q104" i="17"/>
  <c r="R104" i="17" l="1"/>
  <c r="T104" i="17" s="1"/>
  <c r="W104" i="17"/>
  <c r="P106" i="17"/>
  <c r="Q105" i="17"/>
  <c r="R105" i="17" l="1"/>
  <c r="T105" i="17" s="1"/>
  <c r="W105" i="17"/>
  <c r="P107" i="17"/>
  <c r="Q106" i="17"/>
  <c r="R106" i="17" l="1"/>
  <c r="T106" i="17" s="1"/>
  <c r="W106" i="17"/>
  <c r="P108" i="17"/>
  <c r="Q107" i="17"/>
  <c r="R107" i="17" l="1"/>
  <c r="T107" i="17" s="1"/>
  <c r="W107" i="17"/>
  <c r="P109" i="17"/>
  <c r="Q108" i="17"/>
  <c r="R108" i="17" l="1"/>
  <c r="T108" i="17" s="1"/>
  <c r="W108" i="17"/>
  <c r="P110" i="17"/>
  <c r="Q109" i="17"/>
  <c r="R109" i="17" l="1"/>
  <c r="W109" i="17"/>
  <c r="T109" i="17"/>
  <c r="P111" i="17"/>
  <c r="Q110" i="17"/>
  <c r="R110" i="17" l="1"/>
  <c r="T110" i="17" s="1"/>
  <c r="W110" i="17"/>
  <c r="P112" i="17"/>
  <c r="Q111" i="17"/>
  <c r="R111" i="17" l="1"/>
  <c r="T111" i="17" s="1"/>
  <c r="W111" i="17"/>
  <c r="P113" i="17"/>
  <c r="Q112" i="17"/>
  <c r="R112" i="17" l="1"/>
  <c r="T112" i="17" s="1"/>
  <c r="W112" i="17"/>
  <c r="P114" i="17"/>
  <c r="Q113" i="17"/>
  <c r="R113" i="17" l="1"/>
  <c r="T113" i="17" s="1"/>
  <c r="W113" i="17"/>
  <c r="P115" i="17"/>
  <c r="Q114" i="17"/>
  <c r="R114" i="17" l="1"/>
  <c r="T114" i="17" s="1"/>
  <c r="W114" i="17"/>
  <c r="P116" i="17"/>
  <c r="Q115" i="17"/>
  <c r="R115" i="17" l="1"/>
  <c r="T115" i="17" s="1"/>
  <c r="W115" i="17"/>
  <c r="P117" i="17"/>
  <c r="Q116" i="17"/>
  <c r="R116" i="17" l="1"/>
  <c r="T116" i="17" s="1"/>
  <c r="W116" i="17"/>
  <c r="P118" i="17"/>
  <c r="Q117" i="17"/>
  <c r="R117" i="17" l="1"/>
  <c r="T117" i="17" s="1"/>
  <c r="W117" i="17"/>
  <c r="P119" i="17"/>
  <c r="Q118" i="17"/>
  <c r="R118" i="17" l="1"/>
  <c r="W118" i="17"/>
  <c r="T118" i="17"/>
  <c r="P120" i="17"/>
  <c r="Q119" i="17"/>
  <c r="R119" i="17" l="1"/>
  <c r="T119" i="17" s="1"/>
  <c r="W119" i="17"/>
  <c r="P121" i="17"/>
  <c r="Q120" i="17"/>
  <c r="R120" i="17" l="1"/>
  <c r="W120" i="17"/>
  <c r="T120" i="17"/>
  <c r="P122" i="17"/>
  <c r="Q121" i="17"/>
  <c r="R121" i="17" l="1"/>
  <c r="T121" i="17" s="1"/>
  <c r="W121" i="17"/>
  <c r="P123" i="17"/>
  <c r="Q122" i="17"/>
  <c r="R122" i="17" l="1"/>
  <c r="W122" i="17"/>
  <c r="T122" i="17"/>
  <c r="P124" i="17"/>
  <c r="Q123" i="17"/>
  <c r="R123" i="17" l="1"/>
  <c r="W123" i="17"/>
  <c r="T123" i="17"/>
  <c r="P125" i="17"/>
  <c r="Q124" i="17"/>
  <c r="R124" i="17" l="1"/>
  <c r="T124" i="17" s="1"/>
  <c r="W124" i="17"/>
  <c r="P126" i="17"/>
  <c r="Q125" i="17"/>
  <c r="R125" i="17" l="1"/>
  <c r="W125" i="17"/>
  <c r="T125" i="17"/>
  <c r="P127" i="17"/>
  <c r="Q126" i="17"/>
  <c r="R126" i="17" l="1"/>
  <c r="W126" i="17"/>
  <c r="T126" i="17"/>
  <c r="P128" i="17"/>
  <c r="Q127" i="17"/>
  <c r="R127" i="17" l="1"/>
  <c r="T127" i="17" s="1"/>
  <c r="W127" i="17"/>
  <c r="P129" i="17"/>
  <c r="Q128" i="17"/>
  <c r="R128" i="17" l="1"/>
  <c r="W128" i="17"/>
  <c r="T128" i="17"/>
  <c r="P130" i="17"/>
  <c r="Q129" i="17"/>
  <c r="R129" i="17" l="1"/>
  <c r="T129" i="17" s="1"/>
  <c r="W129" i="17"/>
  <c r="P131" i="17"/>
  <c r="Q130" i="17"/>
  <c r="R130" i="17" l="1"/>
  <c r="T130" i="17" s="1"/>
  <c r="W130" i="17"/>
  <c r="P132" i="17"/>
  <c r="Q131" i="17"/>
  <c r="R131" i="17" l="1"/>
  <c r="W131" i="17"/>
  <c r="P133" i="17"/>
  <c r="Q132" i="17"/>
  <c r="T131" i="17"/>
  <c r="R132" i="17" l="1"/>
  <c r="W132" i="17"/>
  <c r="T132" i="17"/>
  <c r="P134" i="17"/>
  <c r="Q133" i="17"/>
  <c r="R133" i="17" l="1"/>
  <c r="T133" i="17" s="1"/>
  <c r="W133" i="17"/>
  <c r="P135" i="17"/>
  <c r="Q134" i="17"/>
  <c r="R134" i="17" l="1"/>
  <c r="T134" i="17" s="1"/>
  <c r="W134" i="17"/>
  <c r="P136" i="17"/>
  <c r="Q135" i="17"/>
  <c r="R135" i="17" l="1"/>
  <c r="W135" i="17"/>
  <c r="T135" i="17"/>
  <c r="P137" i="17"/>
  <c r="Q136" i="17"/>
  <c r="R136" i="17" l="1"/>
  <c r="T136" i="17" s="1"/>
  <c r="W136" i="17"/>
  <c r="P138" i="17"/>
  <c r="Q137" i="17"/>
  <c r="R137" i="17" l="1"/>
  <c r="T137" i="17" s="1"/>
  <c r="W137" i="17"/>
  <c r="P139" i="17"/>
  <c r="Q138" i="17"/>
  <c r="R138" i="17" l="1"/>
  <c r="W138" i="17"/>
  <c r="P140" i="17"/>
  <c r="Q139" i="17"/>
  <c r="T138" i="17"/>
  <c r="R139" i="17" l="1"/>
  <c r="T139" i="17" s="1"/>
  <c r="W139" i="17"/>
  <c r="P141" i="17"/>
  <c r="Q140" i="17"/>
  <c r="R140" i="17" l="1"/>
  <c r="T140" i="17" s="1"/>
  <c r="W140" i="17"/>
  <c r="P142" i="17"/>
  <c r="Q141" i="17"/>
  <c r="R141" i="17" l="1"/>
  <c r="W141" i="17"/>
  <c r="T141" i="17"/>
  <c r="P143" i="17"/>
  <c r="Q142" i="17"/>
  <c r="R142" i="17" l="1"/>
  <c r="T142" i="17" s="1"/>
  <c r="W142" i="17"/>
  <c r="P144" i="17"/>
  <c r="Q143" i="17"/>
  <c r="R143" i="17" l="1"/>
  <c r="W143" i="17"/>
  <c r="T143" i="17"/>
  <c r="P145" i="17"/>
  <c r="Q144" i="17"/>
  <c r="R144" i="17" l="1"/>
  <c r="W144" i="17"/>
  <c r="T144" i="17"/>
  <c r="P146" i="17"/>
  <c r="Q145" i="17"/>
  <c r="R145" i="17" l="1"/>
  <c r="W145" i="17"/>
  <c r="T145" i="17"/>
  <c r="P147" i="17"/>
  <c r="Q146" i="17"/>
  <c r="R146" i="17" l="1"/>
  <c r="T146" i="17" s="1"/>
  <c r="W146" i="17"/>
  <c r="P148" i="17"/>
  <c r="Q147" i="17"/>
  <c r="R147" i="17" l="1"/>
  <c r="W147" i="17"/>
  <c r="P149" i="17"/>
  <c r="Q148" i="17"/>
  <c r="T147" i="17"/>
  <c r="R148" i="17" l="1"/>
  <c r="T148" i="17" s="1"/>
  <c r="W148" i="17"/>
  <c r="P150" i="17"/>
  <c r="Q149" i="17"/>
  <c r="R149" i="17" l="1"/>
  <c r="T149" i="17" s="1"/>
  <c r="W149" i="17"/>
  <c r="P151" i="17"/>
  <c r="Q150" i="17"/>
  <c r="R150" i="17" l="1"/>
  <c r="T150" i="17" s="1"/>
  <c r="W150" i="17"/>
  <c r="P152" i="17"/>
  <c r="Q151" i="17"/>
  <c r="R151" i="17" l="1"/>
  <c r="T151" i="17" s="1"/>
  <c r="W151" i="17"/>
  <c r="P153" i="17"/>
  <c r="Q152" i="17"/>
  <c r="R152" i="17" l="1"/>
  <c r="T152" i="17" s="1"/>
  <c r="W152" i="17"/>
  <c r="P154" i="17"/>
  <c r="Q153" i="17"/>
  <c r="R153" i="17" l="1"/>
  <c r="T153" i="17" s="1"/>
  <c r="W153" i="17"/>
  <c r="P155" i="17"/>
  <c r="Q154" i="17"/>
  <c r="R154" i="17" l="1"/>
  <c r="W154" i="17"/>
  <c r="T154" i="17"/>
  <c r="P156" i="17"/>
  <c r="Q155" i="17"/>
  <c r="R155" i="17" l="1"/>
  <c r="W155" i="17"/>
  <c r="T155" i="17"/>
  <c r="P157" i="17"/>
  <c r="Q156" i="17"/>
  <c r="R156" i="17" l="1"/>
  <c r="T156" i="17" s="1"/>
  <c r="W156" i="17"/>
  <c r="P158" i="17"/>
  <c r="Q157" i="17"/>
  <c r="R157" i="17" l="1"/>
  <c r="W157" i="17"/>
  <c r="T157" i="17"/>
  <c r="P159" i="17"/>
  <c r="Q158" i="17"/>
  <c r="R158" i="17" l="1"/>
  <c r="T158" i="17" s="1"/>
  <c r="W158" i="17"/>
  <c r="P160" i="17"/>
  <c r="Q159" i="17"/>
  <c r="R159" i="17" l="1"/>
  <c r="W159" i="17"/>
  <c r="P161" i="17"/>
  <c r="Q160" i="17"/>
  <c r="T159" i="17"/>
  <c r="R160" i="17" l="1"/>
  <c r="T160" i="17" s="1"/>
  <c r="W160" i="17"/>
  <c r="P162" i="17"/>
  <c r="Q161" i="17"/>
  <c r="R161" i="17" l="1"/>
  <c r="W161" i="17"/>
  <c r="T161" i="17"/>
  <c r="P163" i="17"/>
  <c r="Q162" i="17"/>
  <c r="R162" i="17" l="1"/>
  <c r="T162" i="17" s="1"/>
  <c r="W162" i="17"/>
  <c r="P164" i="17"/>
  <c r="Q163" i="17"/>
  <c r="R163" i="17" l="1"/>
  <c r="T163" i="17" s="1"/>
  <c r="W163" i="17"/>
  <c r="P165" i="17"/>
  <c r="Q164" i="17"/>
  <c r="R164" i="17" l="1"/>
  <c r="T164" i="17" s="1"/>
  <c r="W164" i="17"/>
  <c r="P166" i="17"/>
  <c r="Q165" i="17"/>
  <c r="R165" i="17" l="1"/>
  <c r="T165" i="17" s="1"/>
  <c r="W165" i="17"/>
  <c r="P167" i="17"/>
  <c r="Q166" i="17"/>
  <c r="R166" i="17" l="1"/>
  <c r="T166" i="17" s="1"/>
  <c r="W166" i="17"/>
  <c r="P168" i="17"/>
  <c r="Q167" i="17"/>
  <c r="R167" i="17" l="1"/>
  <c r="T167" i="17" s="1"/>
  <c r="W167" i="17"/>
  <c r="P169" i="17"/>
  <c r="Q168" i="17"/>
  <c r="R168" i="17" l="1"/>
  <c r="T168" i="17" s="1"/>
  <c r="W168" i="17"/>
  <c r="P170" i="17"/>
  <c r="Q170" i="17" s="1"/>
  <c r="Q169" i="17"/>
  <c r="R169" i="17" l="1"/>
  <c r="W169" i="17"/>
  <c r="R170" i="17"/>
  <c r="W170" i="17"/>
  <c r="T169" i="17"/>
  <c r="W172" i="17"/>
  <c r="T170" i="17" l="1"/>
  <c r="T172" i="17" s="1"/>
  <c r="R172" i="17"/>
  <c r="K16" i="1" l="1"/>
  <c r="L16" i="1" l="1"/>
  <c r="B34" i="1" l="1"/>
  <c r="B35" i="1" s="1"/>
  <c r="B36" i="1" s="1"/>
  <c r="B37" i="1" s="1"/>
  <c r="B38" i="1" s="1"/>
  <c r="B39" i="1" s="1"/>
  <c r="B40" i="1" s="1"/>
  <c r="B17" i="1"/>
  <c r="B18" i="1" s="1"/>
  <c r="B19" i="1" s="1"/>
  <c r="B20" i="1" s="1"/>
  <c r="B21" i="1" s="1"/>
  <c r="B22" i="1" s="1"/>
  <c r="C24" i="2"/>
  <c r="K24" i="2"/>
  <c r="Q28" i="11" l="1"/>
  <c r="C16" i="4" s="1"/>
  <c r="A6" i="6"/>
  <c r="C28" i="11" l="1"/>
  <c r="B22" i="4"/>
  <c r="C16" i="9" l="1"/>
  <c r="G83" i="3" l="1"/>
  <c r="M18" i="3"/>
  <c r="M17" i="3"/>
  <c r="M16" i="3"/>
  <c r="M15" i="3"/>
  <c r="M14" i="3"/>
  <c r="M13" i="3"/>
  <c r="M33" i="3" l="1"/>
  <c r="M31" i="3"/>
  <c r="M32" i="3"/>
  <c r="M29" i="3"/>
  <c r="M30" i="3"/>
  <c r="E22" i="1" l="1"/>
  <c r="E24" i="2"/>
  <c r="F24" i="2"/>
  <c r="G24" i="2"/>
  <c r="D24" i="2"/>
  <c r="C63" i="3" l="1"/>
  <c r="E40" i="1" l="1"/>
  <c r="Q22" i="1"/>
  <c r="Q40" i="1" s="1"/>
  <c r="Q51" i="1" l="1"/>
  <c r="Q58" i="1" s="1"/>
  <c r="Q76" i="1" s="1"/>
  <c r="H19" i="2"/>
  <c r="H18" i="2"/>
  <c r="L18" i="2" l="1"/>
  <c r="L19" i="2"/>
  <c r="C13" i="3"/>
  <c r="C14" i="3"/>
  <c r="T21" i="5" l="1"/>
  <c r="R21" i="5"/>
  <c r="R25" i="5"/>
  <c r="S21" i="5"/>
  <c r="H17" i="2"/>
  <c r="L17" i="2" l="1"/>
  <c r="H15" i="2"/>
  <c r="H16" i="2"/>
  <c r="L16" i="2" l="1"/>
  <c r="L15" i="2"/>
  <c r="B28" i="9"/>
  <c r="C17" i="9"/>
  <c r="B17" i="9"/>
  <c r="O24" i="5" l="1"/>
  <c r="P21" i="5" l="1"/>
  <c r="Q21" i="5"/>
  <c r="P25" i="5"/>
  <c r="Q25" i="5"/>
  <c r="U24" i="5"/>
  <c r="U20" i="5"/>
  <c r="O21" i="5"/>
  <c r="O25" i="5"/>
  <c r="H13" i="2"/>
  <c r="H14" i="2"/>
  <c r="H12" i="2"/>
  <c r="L14" i="2" l="1"/>
  <c r="L12" i="2"/>
  <c r="L13" i="2"/>
  <c r="U25" i="5"/>
  <c r="U21" i="5"/>
  <c r="M24" i="5"/>
  <c r="L24" i="5"/>
  <c r="K24" i="5"/>
  <c r="J24" i="5"/>
  <c r="I24" i="5"/>
  <c r="H24" i="5"/>
  <c r="I21" i="5" l="1"/>
  <c r="J21" i="5"/>
  <c r="K21" i="5"/>
  <c r="H21" i="5"/>
  <c r="L21" i="5"/>
  <c r="M21" i="5"/>
  <c r="I25" i="5"/>
  <c r="J25" i="5"/>
  <c r="K25" i="5"/>
  <c r="L25" i="5"/>
  <c r="M25" i="5"/>
  <c r="H25" i="5"/>
  <c r="N25" i="5" l="1"/>
  <c r="N24" i="5"/>
  <c r="N21" i="5"/>
  <c r="N20" i="5"/>
  <c r="A15" i="4" l="1"/>
  <c r="A16" i="4" s="1"/>
  <c r="A17" i="4" s="1"/>
  <c r="A18" i="4" l="1"/>
  <c r="A19" i="4" s="1"/>
  <c r="A22" i="4"/>
  <c r="A23" i="4" s="1"/>
  <c r="A24" i="4" s="1"/>
  <c r="A25" i="4" s="1"/>
  <c r="A26" i="4" s="1"/>
  <c r="A28" i="4" s="1"/>
  <c r="A32" i="4" s="1"/>
  <c r="A34" i="4" s="1"/>
  <c r="A36" i="4" s="1"/>
  <c r="H20" i="2"/>
  <c r="H21" i="2"/>
  <c r="H22" i="2"/>
  <c r="H23" i="2"/>
  <c r="L22" i="2" l="1"/>
  <c r="L23" i="2"/>
  <c r="L21" i="2"/>
  <c r="L20" i="2"/>
  <c r="C18" i="3"/>
  <c r="C17" i="3"/>
  <c r="C16" i="3"/>
  <c r="C15" i="3"/>
  <c r="C19" i="3" l="1"/>
  <c r="H24" i="2"/>
  <c r="L24" i="2" l="1"/>
  <c r="C22" i="1"/>
  <c r="C40" i="1" s="1"/>
  <c r="D17" i="1" l="1"/>
  <c r="M16" i="1"/>
  <c r="D18" i="1" l="1"/>
  <c r="F17" i="1"/>
  <c r="I17" i="1" l="1"/>
  <c r="L17" i="1"/>
  <c r="D19" i="1"/>
  <c r="F18" i="1"/>
  <c r="N16" i="1"/>
  <c r="O16" i="1" s="1"/>
  <c r="P16" i="1" s="1"/>
  <c r="R16" i="1" s="1"/>
  <c r="I18" i="1" l="1"/>
  <c r="L18" i="1"/>
  <c r="M18" i="1" s="1"/>
  <c r="D20" i="1"/>
  <c r="F19" i="1"/>
  <c r="K17" i="1"/>
  <c r="K18" i="1" s="1"/>
  <c r="K19" i="1" s="1"/>
  <c r="M17" i="1"/>
  <c r="G22" i="1"/>
  <c r="I19" i="1" l="1"/>
  <c r="L19" i="1"/>
  <c r="F20" i="1"/>
  <c r="D21" i="1"/>
  <c r="N17" i="1"/>
  <c r="O17" i="1" s="1"/>
  <c r="P17" i="1" s="1"/>
  <c r="R17" i="1" s="1"/>
  <c r="J22" i="1"/>
  <c r="K20" i="1"/>
  <c r="I20" i="1" l="1"/>
  <c r="L20" i="1"/>
  <c r="M20" i="1" s="1"/>
  <c r="F21" i="1"/>
  <c r="D34" i="1"/>
  <c r="L34" i="1" s="1"/>
  <c r="M19" i="1"/>
  <c r="N18" i="1"/>
  <c r="O18" i="1" s="1"/>
  <c r="P18" i="1" s="1"/>
  <c r="R18" i="1" s="1"/>
  <c r="K21" i="1"/>
  <c r="D35" i="1" l="1"/>
  <c r="L35" i="1"/>
  <c r="Q26" i="1"/>
  <c r="G34" i="1"/>
  <c r="F34" i="1"/>
  <c r="I21" i="1"/>
  <c r="L21" i="1"/>
  <c r="F35" i="1"/>
  <c r="G35" i="1"/>
  <c r="J35" i="1" s="1"/>
  <c r="N19" i="1"/>
  <c r="O19" i="1" s="1"/>
  <c r="P19" i="1" s="1"/>
  <c r="R19" i="1" s="1"/>
  <c r="D36" i="1"/>
  <c r="D13" i="3"/>
  <c r="F13" i="3" s="1"/>
  <c r="N20" i="1" l="1"/>
  <c r="O20" i="1" s="1"/>
  <c r="P20" i="1" s="1"/>
  <c r="R20" i="1" s="1"/>
  <c r="G36" i="1"/>
  <c r="L36" i="1"/>
  <c r="J34" i="1"/>
  <c r="K34" i="1" s="1"/>
  <c r="M21" i="1"/>
  <c r="M22" i="1" s="1"/>
  <c r="L22" i="1"/>
  <c r="H34" i="1"/>
  <c r="I34" i="1" s="1"/>
  <c r="D37" i="1"/>
  <c r="F36" i="1"/>
  <c r="G13" i="3"/>
  <c r="D14" i="3"/>
  <c r="F14" i="3" s="1"/>
  <c r="D15" i="3"/>
  <c r="F15" i="3" s="1"/>
  <c r="K35" i="1" l="1"/>
  <c r="N34" i="1"/>
  <c r="M34" i="1" s="1"/>
  <c r="G37" i="1"/>
  <c r="L37" i="1"/>
  <c r="H35" i="1"/>
  <c r="H36" i="1" s="1"/>
  <c r="J36" i="1"/>
  <c r="N21" i="1"/>
  <c r="H37" i="1"/>
  <c r="H38" i="1" s="1"/>
  <c r="H39" i="1" s="1"/>
  <c r="H51" i="1" s="1"/>
  <c r="I36" i="1"/>
  <c r="D38" i="1"/>
  <c r="F37" i="1"/>
  <c r="H13" i="3"/>
  <c r="J13" i="3" s="1"/>
  <c r="K13" i="3" s="1"/>
  <c r="N13" i="3" s="1"/>
  <c r="E14" i="3"/>
  <c r="G14" i="3" s="1"/>
  <c r="E15" i="3" s="1"/>
  <c r="D16" i="3"/>
  <c r="I35" i="1" l="1"/>
  <c r="J37" i="1"/>
  <c r="I37" i="1"/>
  <c r="K36" i="1"/>
  <c r="N35" i="1"/>
  <c r="M35" i="1" s="1"/>
  <c r="L38" i="1"/>
  <c r="O21" i="1"/>
  <c r="P21" i="1" s="1"/>
  <c r="R21" i="1" s="1"/>
  <c r="F16" i="3"/>
  <c r="D39" i="1"/>
  <c r="F38" i="1"/>
  <c r="I38" i="1" s="1"/>
  <c r="H14" i="3"/>
  <c r="J14" i="3" s="1"/>
  <c r="K14" i="3" s="1"/>
  <c r="N14" i="3" s="1"/>
  <c r="O13" i="3"/>
  <c r="G15" i="3"/>
  <c r="E16" i="3" s="1"/>
  <c r="D51" i="1" l="1"/>
  <c r="L39" i="1"/>
  <c r="D52" i="1"/>
  <c r="G52" i="1" s="1"/>
  <c r="K37" i="1"/>
  <c r="N36" i="1"/>
  <c r="M36" i="1" s="1"/>
  <c r="L40" i="1"/>
  <c r="G16" i="3"/>
  <c r="H16" i="3" s="1"/>
  <c r="J16" i="3" s="1"/>
  <c r="K16" i="3" s="1"/>
  <c r="N16" i="3" s="1"/>
  <c r="D53" i="1"/>
  <c r="F39" i="1"/>
  <c r="O14" i="3"/>
  <c r="D17" i="3"/>
  <c r="P22" i="1"/>
  <c r="H15" i="3"/>
  <c r="J15" i="3" s="1"/>
  <c r="K15" i="3" s="1"/>
  <c r="N15" i="3" s="1"/>
  <c r="O15" i="3" s="1"/>
  <c r="L53" i="1" l="1"/>
  <c r="G53" i="1"/>
  <c r="H28" i="5"/>
  <c r="J52" i="1"/>
  <c r="E17" i="3"/>
  <c r="I39" i="1"/>
  <c r="I51" i="1" s="1"/>
  <c r="F51" i="1"/>
  <c r="K38" i="1"/>
  <c r="N37" i="1"/>
  <c r="M37" i="1" s="1"/>
  <c r="L52" i="1"/>
  <c r="F52" i="1"/>
  <c r="D54" i="1"/>
  <c r="F53" i="1"/>
  <c r="H52" i="1"/>
  <c r="I52" i="1" s="1"/>
  <c r="U32" i="5"/>
  <c r="U33" i="5"/>
  <c r="D18" i="3"/>
  <c r="F18" i="3" s="1"/>
  <c r="R22" i="1"/>
  <c r="F17" i="3"/>
  <c r="O16" i="3"/>
  <c r="L54" i="1" l="1"/>
  <c r="G54" i="1"/>
  <c r="H29" i="5"/>
  <c r="I28" i="5"/>
  <c r="I29" i="5" s="1"/>
  <c r="J53" i="1"/>
  <c r="D19" i="3"/>
  <c r="K39" i="1"/>
  <c r="N38" i="1"/>
  <c r="M38" i="1" s="1"/>
  <c r="H53" i="1"/>
  <c r="I53" i="1" s="1"/>
  <c r="F54" i="1"/>
  <c r="D55" i="1"/>
  <c r="G17" i="3"/>
  <c r="L55" i="1" l="1"/>
  <c r="G55" i="1"/>
  <c r="K51" i="1"/>
  <c r="K52" i="1"/>
  <c r="N52" i="1" s="1"/>
  <c r="J54" i="1"/>
  <c r="J28" i="5"/>
  <c r="J29" i="5" s="1"/>
  <c r="N39" i="1"/>
  <c r="H54" i="1"/>
  <c r="I54" i="1" s="1"/>
  <c r="F55" i="1"/>
  <c r="D56" i="1"/>
  <c r="G56" i="1" s="1"/>
  <c r="H17" i="3"/>
  <c r="J17" i="3" s="1"/>
  <c r="K17" i="3" s="1"/>
  <c r="N17" i="3" s="1"/>
  <c r="E18" i="3"/>
  <c r="L28" i="5" l="1"/>
  <c r="L29" i="5" s="1"/>
  <c r="J56" i="1"/>
  <c r="J55" i="1"/>
  <c r="K28" i="5"/>
  <c r="K29" i="5" s="1"/>
  <c r="L56" i="1"/>
  <c r="D57" i="1"/>
  <c r="G57" i="1" s="1"/>
  <c r="N51" i="1"/>
  <c r="M39" i="1"/>
  <c r="K53" i="1"/>
  <c r="N53" i="1" s="1"/>
  <c r="M52" i="1"/>
  <c r="H55" i="1"/>
  <c r="H56" i="1" s="1"/>
  <c r="F56" i="1"/>
  <c r="G18" i="3"/>
  <c r="E28" i="3" s="1"/>
  <c r="O17" i="3"/>
  <c r="H57" i="1" l="1"/>
  <c r="G70" i="1"/>
  <c r="J57" i="1"/>
  <c r="J58" i="1" s="1"/>
  <c r="M28" i="5"/>
  <c r="M29" i="5" s="1"/>
  <c r="N29" i="5" s="1"/>
  <c r="N28" i="5"/>
  <c r="G58" i="1"/>
  <c r="K54" i="1"/>
  <c r="N54" i="1" s="1"/>
  <c r="M53" i="1"/>
  <c r="M40" i="1"/>
  <c r="L57" i="1"/>
  <c r="D70" i="1"/>
  <c r="F70" i="1" s="1"/>
  <c r="F57" i="1"/>
  <c r="I57" i="1" s="1"/>
  <c r="I56" i="1"/>
  <c r="I55" i="1"/>
  <c r="H18" i="3"/>
  <c r="J18" i="3" s="1"/>
  <c r="K18" i="3" s="1"/>
  <c r="N18" i="3" s="1"/>
  <c r="G71" i="1" l="1"/>
  <c r="J70" i="1"/>
  <c r="O28" i="5"/>
  <c r="D71" i="1"/>
  <c r="F71" i="1" s="1"/>
  <c r="L70" i="1"/>
  <c r="K55" i="1"/>
  <c r="N55" i="1" s="1"/>
  <c r="M54" i="1"/>
  <c r="O18" i="3"/>
  <c r="N19" i="3"/>
  <c r="N27" i="3" s="1"/>
  <c r="G72" i="1" l="1"/>
  <c r="J71" i="1"/>
  <c r="P28" i="5"/>
  <c r="K56" i="1"/>
  <c r="N56" i="1" s="1"/>
  <c r="M55" i="1"/>
  <c r="L71" i="1"/>
  <c r="D72" i="1"/>
  <c r="F72" i="1" s="1"/>
  <c r="H70" i="1"/>
  <c r="I70" i="1" s="1"/>
  <c r="G73" i="1" l="1"/>
  <c r="J72" i="1"/>
  <c r="Q28" i="5"/>
  <c r="D73" i="1"/>
  <c r="F73" i="1" s="1"/>
  <c r="L72" i="1"/>
  <c r="K57" i="1"/>
  <c r="N57" i="1" s="1"/>
  <c r="M56" i="1"/>
  <c r="H71" i="1"/>
  <c r="I71" i="1" s="1"/>
  <c r="R28" i="5" l="1"/>
  <c r="J73" i="1"/>
  <c r="G74" i="1"/>
  <c r="D74" i="1"/>
  <c r="F74" i="1" s="1"/>
  <c r="L73" i="1"/>
  <c r="K70" i="1"/>
  <c r="N70" i="1" s="1"/>
  <c r="M57" i="1"/>
  <c r="M58" i="1" s="1"/>
  <c r="H72" i="1"/>
  <c r="I72" i="1" s="1"/>
  <c r="G75" i="1" l="1"/>
  <c r="J74" i="1"/>
  <c r="S28" i="5"/>
  <c r="G76" i="1"/>
  <c r="K71" i="1"/>
  <c r="N71" i="1" s="1"/>
  <c r="M70" i="1"/>
  <c r="D75" i="1"/>
  <c r="F75" i="1" s="1"/>
  <c r="L74" i="1"/>
  <c r="H73" i="1"/>
  <c r="J75" i="1" l="1"/>
  <c r="J76" i="1" s="1"/>
  <c r="G23" i="11" a="1"/>
  <c r="G23" i="11" s="1"/>
  <c r="J23" i="11" s="1"/>
  <c r="M23" i="11" s="1"/>
  <c r="G22" i="11" a="1"/>
  <c r="G22" i="11" s="1"/>
  <c r="J22" i="11" s="1"/>
  <c r="M22" i="11" s="1"/>
  <c r="G16" i="11"/>
  <c r="J16" i="11" s="1"/>
  <c r="M16" i="11" s="1"/>
  <c r="G21" i="11" a="1"/>
  <c r="G21" i="11" s="1"/>
  <c r="J21" i="11" s="1"/>
  <c r="G26" i="11" a="1"/>
  <c r="G26" i="11" s="1"/>
  <c r="J26" i="11" s="1"/>
  <c r="M26" i="11" s="1"/>
  <c r="G17" i="11" a="1"/>
  <c r="G17" i="11" s="1"/>
  <c r="J17" i="11" s="1"/>
  <c r="M17" i="11" s="1"/>
  <c r="G20" i="11" a="1"/>
  <c r="G20" i="11" s="1"/>
  <c r="J20" i="11" s="1"/>
  <c r="M20" i="11" s="1"/>
  <c r="G19" i="11" a="1"/>
  <c r="G19" i="11" s="1"/>
  <c r="J19" i="11" s="1"/>
  <c r="M19" i="11" s="1"/>
  <c r="G18" i="11" a="1"/>
  <c r="G18" i="11" s="1"/>
  <c r="J18" i="11" s="1"/>
  <c r="M18" i="11" s="1"/>
  <c r="T28" i="5"/>
  <c r="G25" i="11" a="1"/>
  <c r="G25" i="11" s="1"/>
  <c r="J25" i="11" s="1"/>
  <c r="M25" i="11" s="1"/>
  <c r="G27" i="11" a="1"/>
  <c r="G27" i="11" s="1"/>
  <c r="J27" i="11" s="1"/>
  <c r="M27" i="11" s="1"/>
  <c r="G24" i="11" a="1"/>
  <c r="G24" i="11" s="1"/>
  <c r="J24" i="11" s="1"/>
  <c r="M24" i="11" s="1"/>
  <c r="D15" i="11"/>
  <c r="D16" i="11" s="1"/>
  <c r="L75" i="1"/>
  <c r="K72" i="1"/>
  <c r="N72" i="1" s="1"/>
  <c r="M71" i="1"/>
  <c r="H74" i="1"/>
  <c r="I73" i="1"/>
  <c r="O29" i="5"/>
  <c r="J28" i="11" l="1"/>
  <c r="M21" i="11"/>
  <c r="K73" i="1"/>
  <c r="N73" i="1" s="1"/>
  <c r="M72" i="1"/>
  <c r="D17" i="11"/>
  <c r="F16" i="11"/>
  <c r="H75" i="1"/>
  <c r="I74" i="1"/>
  <c r="O34" i="1"/>
  <c r="P34" i="1" s="1"/>
  <c r="D18" i="11" l="1"/>
  <c r="F17" i="11"/>
  <c r="K74" i="1"/>
  <c r="N74" i="1" s="1"/>
  <c r="M73" i="1"/>
  <c r="H15" i="11"/>
  <c r="H16" i="11" s="1"/>
  <c r="I75" i="1"/>
  <c r="R34" i="1"/>
  <c r="E28" i="11"/>
  <c r="Q29" i="5"/>
  <c r="P29" i="5"/>
  <c r="K75" i="1" l="1"/>
  <c r="N75" i="1" s="1"/>
  <c r="M74" i="1"/>
  <c r="D19" i="11"/>
  <c r="F18" i="11"/>
  <c r="I16" i="11"/>
  <c r="H17" i="11"/>
  <c r="M28" i="11"/>
  <c r="D28" i="3"/>
  <c r="F28" i="3" s="1"/>
  <c r="D20" i="11" l="1"/>
  <c r="F19" i="11"/>
  <c r="K15" i="11"/>
  <c r="K16" i="11" s="1"/>
  <c r="K17" i="11" s="1"/>
  <c r="K18" i="11" s="1"/>
  <c r="M75" i="1"/>
  <c r="I17" i="11"/>
  <c r="H18" i="11"/>
  <c r="G28" i="3"/>
  <c r="G28" i="11"/>
  <c r="R29" i="5"/>
  <c r="D21" i="11" l="1"/>
  <c r="F20" i="11"/>
  <c r="C14" i="4"/>
  <c r="I18" i="11"/>
  <c r="H19" i="11"/>
  <c r="H28" i="3"/>
  <c r="J28" i="3" s="1"/>
  <c r="K28" i="3" s="1"/>
  <c r="N28" i="3" s="1"/>
  <c r="E29" i="3"/>
  <c r="S29" i="5"/>
  <c r="G40" i="1"/>
  <c r="F21" i="11" l="1"/>
  <c r="D22" i="11"/>
  <c r="I19" i="11"/>
  <c r="H20" i="11"/>
  <c r="O28" i="3"/>
  <c r="T29" i="5"/>
  <c r="U28" i="5"/>
  <c r="J40" i="1"/>
  <c r="D23" i="11" l="1"/>
  <c r="F22" i="11"/>
  <c r="I20" i="11"/>
  <c r="H21" i="11"/>
  <c r="K19" i="11"/>
  <c r="K20" i="11" s="1"/>
  <c r="K21" i="11" s="1"/>
  <c r="K22" i="11" s="1"/>
  <c r="K23" i="11" s="1"/>
  <c r="K24" i="11" s="1"/>
  <c r="K25" i="11" s="1"/>
  <c r="K26" i="11" s="1"/>
  <c r="K27" i="11" s="1"/>
  <c r="U29" i="5"/>
  <c r="F23" i="11" l="1"/>
  <c r="D24" i="11"/>
  <c r="I21" i="11"/>
  <c r="H22" i="11"/>
  <c r="D60" i="3"/>
  <c r="D59" i="3"/>
  <c r="D58" i="3"/>
  <c r="E63" i="3"/>
  <c r="D25" i="11" l="1"/>
  <c r="F24" i="11"/>
  <c r="I22" i="11"/>
  <c r="H23" i="11"/>
  <c r="C34" i="3"/>
  <c r="D26" i="11" l="1"/>
  <c r="F25" i="11"/>
  <c r="I23" i="11"/>
  <c r="H24" i="11"/>
  <c r="M76" i="1"/>
  <c r="O35" i="1"/>
  <c r="P35" i="1" s="1"/>
  <c r="F26" i="11" l="1"/>
  <c r="D27" i="11"/>
  <c r="F27" i="11" s="1"/>
  <c r="I24" i="11"/>
  <c r="H25" i="11"/>
  <c r="R35" i="1"/>
  <c r="I25" i="11" l="1"/>
  <c r="H26" i="11"/>
  <c r="O36" i="1"/>
  <c r="P36" i="1" s="1"/>
  <c r="R36" i="1" s="1"/>
  <c r="O37" i="1"/>
  <c r="P37" i="1" s="1"/>
  <c r="R37" i="1" s="1"/>
  <c r="O52" i="1"/>
  <c r="P52" i="1" s="1"/>
  <c r="O38" i="1"/>
  <c r="I26" i="11" l="1"/>
  <c r="H27" i="11"/>
  <c r="I27" i="11" s="1"/>
  <c r="D31" i="3"/>
  <c r="F31" i="3" s="1"/>
  <c r="P38" i="1"/>
  <c r="R38" i="1" s="1"/>
  <c r="O53" i="1"/>
  <c r="P53" i="1" s="1"/>
  <c r="O39" i="1"/>
  <c r="O51" i="1" s="1"/>
  <c r="D30" i="3"/>
  <c r="F30" i="3" s="1"/>
  <c r="D29" i="3"/>
  <c r="D32" i="3" l="1"/>
  <c r="F32" i="3" s="1"/>
  <c r="P39" i="1"/>
  <c r="P40" i="1" s="1"/>
  <c r="P51" i="1" s="1"/>
  <c r="R52" i="1"/>
  <c r="F29" i="3"/>
  <c r="G29" i="3" s="1"/>
  <c r="D44" i="3" l="1"/>
  <c r="F44" i="3" s="1"/>
  <c r="H11" i="5" s="1"/>
  <c r="O54" i="1"/>
  <c r="P54" i="1" s="1"/>
  <c r="R39" i="1"/>
  <c r="H12" i="5" l="1"/>
  <c r="O56" i="1"/>
  <c r="P56" i="1" s="1"/>
  <c r="O55" i="1"/>
  <c r="P55" i="1" s="1"/>
  <c r="R40" i="1"/>
  <c r="R51" i="1" s="1"/>
  <c r="D33" i="3"/>
  <c r="H29" i="3"/>
  <c r="R54" i="1"/>
  <c r="R53" i="1"/>
  <c r="E30" i="3"/>
  <c r="D46" i="3" l="1"/>
  <c r="F33" i="3"/>
  <c r="D34" i="3"/>
  <c r="D45" i="3"/>
  <c r="G30" i="3"/>
  <c r="E31" i="3" s="1"/>
  <c r="O57" i="1"/>
  <c r="P57" i="1" s="1"/>
  <c r="P58" i="1" s="1"/>
  <c r="J29" i="3"/>
  <c r="K29" i="3" s="1"/>
  <c r="N29" i="3" s="1"/>
  <c r="F34" i="3" l="1"/>
  <c r="H30" i="3"/>
  <c r="J30" i="3" s="1"/>
  <c r="K30" i="3" s="1"/>
  <c r="N30" i="3" s="1"/>
  <c r="F45" i="3"/>
  <c r="I11" i="5" s="1"/>
  <c r="G31" i="3"/>
  <c r="F46" i="3"/>
  <c r="J11" i="5" s="1"/>
  <c r="J12" i="5" s="1"/>
  <c r="O29" i="3"/>
  <c r="R57" i="1"/>
  <c r="O70" i="1"/>
  <c r="P70" i="1" s="1"/>
  <c r="R55" i="1"/>
  <c r="R56" i="1"/>
  <c r="R58" i="1" l="1"/>
  <c r="I12" i="5"/>
  <c r="D48" i="3"/>
  <c r="D47" i="3"/>
  <c r="H31" i="3"/>
  <c r="J31" i="3" s="1"/>
  <c r="K31" i="3" s="1"/>
  <c r="N31" i="3" s="1"/>
  <c r="D49" i="3"/>
  <c r="E32" i="3"/>
  <c r="R70" i="1"/>
  <c r="O30" i="3"/>
  <c r="D71" i="3" l="1"/>
  <c r="F71" i="3" s="1"/>
  <c r="D50" i="3"/>
  <c r="F49" i="3"/>
  <c r="M11" i="5" s="1"/>
  <c r="G32" i="3"/>
  <c r="H32" i="3" s="1"/>
  <c r="O71" i="1"/>
  <c r="P71" i="1" s="1"/>
  <c r="O31" i="3"/>
  <c r="M12" i="5" l="1"/>
  <c r="O11" i="5"/>
  <c r="O12" i="5" s="1"/>
  <c r="E33" i="3"/>
  <c r="G33" i="3" s="1"/>
  <c r="E44" i="3" s="1"/>
  <c r="J32" i="3"/>
  <c r="K32" i="3" s="1"/>
  <c r="N32" i="3" s="1"/>
  <c r="F47" i="3"/>
  <c r="K11" i="5" s="1"/>
  <c r="O72" i="1"/>
  <c r="P72" i="1" s="1"/>
  <c r="K12" i="5" l="1"/>
  <c r="G44" i="3"/>
  <c r="R71" i="1"/>
  <c r="O32" i="3"/>
  <c r="R72" i="1"/>
  <c r="O73" i="1"/>
  <c r="P73" i="1" s="1"/>
  <c r="D72" i="3" l="1"/>
  <c r="D73" i="3"/>
  <c r="F73" i="3" s="1"/>
  <c r="H44" i="3"/>
  <c r="J44" i="3" s="1"/>
  <c r="K44" i="3" s="1"/>
  <c r="E45" i="3"/>
  <c r="H33" i="3"/>
  <c r="J33" i="3" s="1"/>
  <c r="K33" i="3" s="1"/>
  <c r="N33" i="3" s="1"/>
  <c r="O33" i="3" s="1"/>
  <c r="F48" i="3"/>
  <c r="C50" i="3"/>
  <c r="O74" i="1"/>
  <c r="P74" i="1" s="1"/>
  <c r="Q11" i="5" l="1"/>
  <c r="Q12" i="5" s="1"/>
  <c r="F50" i="3"/>
  <c r="L11" i="5"/>
  <c r="N11" i="5" s="1"/>
  <c r="N44" i="3"/>
  <c r="H15" i="5" s="1"/>
  <c r="H17" i="5" s="1"/>
  <c r="O75" i="1"/>
  <c r="P75" i="1" s="1"/>
  <c r="N15" i="11"/>
  <c r="N16" i="11" s="1"/>
  <c r="F72" i="3"/>
  <c r="G45" i="3"/>
  <c r="R74" i="1"/>
  <c r="R73" i="1"/>
  <c r="N34" i="3"/>
  <c r="N43" i="3" s="1"/>
  <c r="P11" i="5" l="1"/>
  <c r="P12" i="5" s="1"/>
  <c r="P76" i="1"/>
  <c r="D74" i="3"/>
  <c r="O44" i="3"/>
  <c r="L12" i="5"/>
  <c r="N12" i="5" s="1"/>
  <c r="D75" i="3"/>
  <c r="F75" i="3" s="1"/>
  <c r="S11" i="5" s="1"/>
  <c r="O16" i="11"/>
  <c r="N17" i="11"/>
  <c r="H45" i="3"/>
  <c r="J45" i="3" s="1"/>
  <c r="K45" i="3" s="1"/>
  <c r="N45" i="3" s="1"/>
  <c r="O45" i="3" s="1"/>
  <c r="E46" i="3"/>
  <c r="G46" i="3" s="1"/>
  <c r="P16" i="11" l="1"/>
  <c r="R16" i="11" s="1"/>
  <c r="R75" i="1"/>
  <c r="I15" i="5"/>
  <c r="I17" i="5" s="1"/>
  <c r="S12" i="5"/>
  <c r="O17" i="11"/>
  <c r="P17" i="11" s="1"/>
  <c r="R17" i="11" s="1"/>
  <c r="N18" i="11"/>
  <c r="F74" i="3"/>
  <c r="E47" i="3"/>
  <c r="G47" i="3" s="1"/>
  <c r="H46" i="3"/>
  <c r="J46" i="3" s="1"/>
  <c r="K46" i="3" s="1"/>
  <c r="N46" i="3" s="1"/>
  <c r="J15" i="5" s="1"/>
  <c r="J17" i="5" s="1"/>
  <c r="R76" i="1" l="1"/>
  <c r="D76" i="3"/>
  <c r="O46" i="3"/>
  <c r="R11" i="5"/>
  <c r="O18" i="11"/>
  <c r="P18" i="11" s="1"/>
  <c r="R18" i="11" s="1"/>
  <c r="N19" i="11"/>
  <c r="E48" i="3"/>
  <c r="G48" i="3" s="1"/>
  <c r="H47" i="3"/>
  <c r="J47" i="3" s="1"/>
  <c r="K47" i="3" s="1"/>
  <c r="N47" i="3" s="1"/>
  <c r="O47" i="3" s="1"/>
  <c r="F76" i="3" l="1"/>
  <c r="D77" i="3"/>
  <c r="K15" i="5"/>
  <c r="K17" i="5" s="1"/>
  <c r="R12" i="5"/>
  <c r="N20" i="11"/>
  <c r="O19" i="11"/>
  <c r="P19" i="11" s="1"/>
  <c r="H48" i="3"/>
  <c r="J48" i="3" s="1"/>
  <c r="K48" i="3" s="1"/>
  <c r="N48" i="3" s="1"/>
  <c r="L15" i="5" s="1"/>
  <c r="L17" i="5" s="1"/>
  <c r="E49" i="3"/>
  <c r="G49" i="3" s="1"/>
  <c r="C77" i="3"/>
  <c r="T11" i="5" l="1"/>
  <c r="F77" i="3"/>
  <c r="O48" i="3"/>
  <c r="R19" i="11"/>
  <c r="N21" i="11"/>
  <c r="O20" i="11"/>
  <c r="P20" i="11" s="1"/>
  <c r="R20" i="11" s="1"/>
  <c r="H49" i="3"/>
  <c r="J49" i="3" s="1"/>
  <c r="K49" i="3" s="1"/>
  <c r="N49" i="3" s="1"/>
  <c r="T12" i="5" l="1"/>
  <c r="U12" i="5" s="1"/>
  <c r="U11" i="5"/>
  <c r="M15" i="5"/>
  <c r="M17" i="5" s="1"/>
  <c r="N17" i="5" s="1"/>
  <c r="N50" i="3"/>
  <c r="N70" i="3" s="1"/>
  <c r="O49" i="3"/>
  <c r="N22" i="11"/>
  <c r="O21" i="11"/>
  <c r="P21" i="11" s="1"/>
  <c r="R21" i="11" s="1"/>
  <c r="E71" i="3" l="1"/>
  <c r="G71" i="3" s="1"/>
  <c r="N15" i="5"/>
  <c r="N23" i="11"/>
  <c r="O22" i="11"/>
  <c r="P22" i="11" s="1"/>
  <c r="R22" i="11" s="1"/>
  <c r="E72" i="3" l="1"/>
  <c r="G72" i="3" s="1"/>
  <c r="H71" i="3"/>
  <c r="J71" i="3" s="1"/>
  <c r="K71" i="3" s="1"/>
  <c r="N71" i="3" s="1"/>
  <c r="O71" i="3" s="1"/>
  <c r="N24" i="11"/>
  <c r="O23" i="11"/>
  <c r="P23" i="11" s="1"/>
  <c r="R23" i="11" s="1"/>
  <c r="O15" i="5" l="1"/>
  <c r="O17" i="5" s="1"/>
  <c r="H72" i="3"/>
  <c r="E73" i="3"/>
  <c r="G73" i="3" s="1"/>
  <c r="O24" i="11"/>
  <c r="P24" i="11" s="1"/>
  <c r="R24" i="11" s="1"/>
  <c r="N25" i="11"/>
  <c r="H73" i="3" l="1"/>
  <c r="J73" i="3" s="1"/>
  <c r="K73" i="3" s="1"/>
  <c r="N73" i="3" s="1"/>
  <c r="E74" i="3"/>
  <c r="G74" i="3" s="1"/>
  <c r="J72" i="3"/>
  <c r="K72" i="3" s="1"/>
  <c r="N72" i="3" s="1"/>
  <c r="O25" i="11"/>
  <c r="P25" i="11" s="1"/>
  <c r="R25" i="11" s="1"/>
  <c r="N26" i="11"/>
  <c r="H74" i="3" l="1"/>
  <c r="J74" i="3" s="1"/>
  <c r="K74" i="3" s="1"/>
  <c r="N74" i="3" s="1"/>
  <c r="O74" i="3" s="1"/>
  <c r="E75" i="3"/>
  <c r="G75" i="3" s="1"/>
  <c r="O72" i="3"/>
  <c r="P15" i="5"/>
  <c r="P17" i="5" s="1"/>
  <c r="Q15" i="5"/>
  <c r="Q17" i="5" s="1"/>
  <c r="O73" i="3"/>
  <c r="O26" i="11"/>
  <c r="P26" i="11" s="1"/>
  <c r="R26" i="11" s="1"/>
  <c r="N27" i="11"/>
  <c r="O27" i="11" s="1"/>
  <c r="P27" i="11" s="1"/>
  <c r="H75" i="3" l="1"/>
  <c r="E76" i="3"/>
  <c r="G76" i="3" s="1"/>
  <c r="R15" i="5"/>
  <c r="R17" i="5" s="1"/>
  <c r="R27" i="11"/>
  <c r="R28" i="11" s="1"/>
  <c r="P28" i="11"/>
  <c r="H76" i="3" l="1"/>
  <c r="J75" i="3"/>
  <c r="K75" i="3" s="1"/>
  <c r="N75" i="3" s="1"/>
  <c r="C15" i="4"/>
  <c r="C17" i="4" s="1"/>
  <c r="O75" i="3" l="1"/>
  <c r="S15" i="5"/>
  <c r="S17" i="5" s="1"/>
  <c r="U17" i="5" s="1"/>
  <c r="J76" i="3"/>
  <c r="K76" i="3" s="1"/>
  <c r="N76" i="3" s="1"/>
  <c r="T15" i="5" l="1"/>
  <c r="N77" i="3"/>
  <c r="O76" i="3"/>
  <c r="C18" i="4" s="1"/>
  <c r="C19" i="4" s="1"/>
  <c r="C22" i="4" s="1"/>
  <c r="C24" i="4" s="1"/>
  <c r="C40" i="4" s="1"/>
  <c r="C41" i="4" s="1"/>
  <c r="C43" i="4" s="1"/>
  <c r="E16" i="9" l="1"/>
  <c r="E27" i="9"/>
  <c r="F27" i="9" s="1"/>
  <c r="F28" i="9" s="1"/>
  <c r="C26" i="4"/>
  <c r="C28" i="4" s="1"/>
  <c r="C34" i="4"/>
  <c r="C32" i="4"/>
  <c r="C36" i="4" s="1"/>
  <c r="T16" i="5"/>
  <c r="U16" i="5" s="1"/>
  <c r="U15" i="5"/>
  <c r="F16" i="9"/>
  <c r="F17" i="9" s="1"/>
  <c r="E17" i="9"/>
  <c r="E28" i="9" l="1"/>
  <c r="A8" i="4"/>
  <c r="B21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<sst xmlns="http://schemas.openxmlformats.org/spreadsheetml/2006/main" count="2362" uniqueCount="778">
  <si>
    <t>JERSEY CENTRAL POWER &amp; LIGHT COMPANY</t>
  </si>
  <si>
    <t>Current RRC Rate</t>
  </si>
  <si>
    <t>Proposed RRC Rate</t>
  </si>
  <si>
    <t>w/o SUT</t>
  </si>
  <si>
    <t>w/SUT</t>
  </si>
  <si>
    <t>SREC</t>
  </si>
  <si>
    <t>TREC</t>
  </si>
  <si>
    <t>EE&amp;C</t>
  </si>
  <si>
    <t>Community Solar</t>
  </si>
  <si>
    <t>SuSI</t>
  </si>
  <si>
    <t>Total RRC Rate</t>
  </si>
  <si>
    <t>Revenues Received</t>
  </si>
  <si>
    <t>Current RRC</t>
  </si>
  <si>
    <t>Proposed RRC</t>
  </si>
  <si>
    <t>Increase/ (Decrease)</t>
  </si>
  <si>
    <t>Total</t>
  </si>
  <si>
    <t>Residential</t>
  </si>
  <si>
    <t>Commercial</t>
  </si>
  <si>
    <t>Industrial</t>
  </si>
  <si>
    <t>Public Street</t>
  </si>
  <si>
    <t xml:space="preserve">Actual </t>
  </si>
  <si>
    <t>Month</t>
  </si>
  <si>
    <t>Class</t>
  </si>
  <si>
    <t>Lights</t>
  </si>
  <si>
    <t>Revenues</t>
  </si>
  <si>
    <t>Actual Revenue Requirement</t>
  </si>
  <si>
    <t>Tax Adjustment for Deferred Income Tax</t>
  </si>
  <si>
    <t>Cumulative</t>
  </si>
  <si>
    <t>Customer</t>
  </si>
  <si>
    <t>Accumulated</t>
  </si>
  <si>
    <t xml:space="preserve">Accumulated </t>
  </si>
  <si>
    <t xml:space="preserve">Service </t>
  </si>
  <si>
    <t>Financing</t>
  </si>
  <si>
    <t>Tax</t>
  </si>
  <si>
    <t>Deferred</t>
  </si>
  <si>
    <t xml:space="preserve">Deferred </t>
  </si>
  <si>
    <t>Operating &amp;</t>
  </si>
  <si>
    <t xml:space="preserve">Amortization </t>
  </si>
  <si>
    <t>Amortization</t>
  </si>
  <si>
    <t>Income</t>
  </si>
  <si>
    <t>Net</t>
  </si>
  <si>
    <t>Return</t>
  </si>
  <si>
    <t>Maintenance</t>
  </si>
  <si>
    <t>Revenue</t>
  </si>
  <si>
    <t>Investment</t>
  </si>
  <si>
    <t>Expense</t>
  </si>
  <si>
    <t>Component</t>
  </si>
  <si>
    <t>Requirement</t>
  </si>
  <si>
    <t xml:space="preserve">Beginning </t>
  </si>
  <si>
    <t>Current</t>
  </si>
  <si>
    <t>Ending</t>
  </si>
  <si>
    <t>Actual</t>
  </si>
  <si>
    <t>Period</t>
  </si>
  <si>
    <t xml:space="preserve">Average </t>
  </si>
  <si>
    <t xml:space="preserve">Total </t>
  </si>
  <si>
    <t>Monthly</t>
  </si>
  <si>
    <t>Interest</t>
  </si>
  <si>
    <t>Deferral</t>
  </si>
  <si>
    <t>Beginning</t>
  </si>
  <si>
    <t>Average Bal.</t>
  </si>
  <si>
    <t>Balance</t>
  </si>
  <si>
    <t>Collection</t>
  </si>
  <si>
    <t>Ending Balance</t>
  </si>
  <si>
    <t>Rate</t>
  </si>
  <si>
    <t>Net of Tax</t>
  </si>
  <si>
    <t>Rate *</t>
  </si>
  <si>
    <t xml:space="preserve">Revenue </t>
  </si>
  <si>
    <t xml:space="preserve">Deferral </t>
  </si>
  <si>
    <t>* Two year Treasury plus 60 basis points.</t>
  </si>
  <si>
    <t>Amortization Expense</t>
  </si>
  <si>
    <t>Rate of Return</t>
  </si>
  <si>
    <t>O &amp; M Expenses</t>
  </si>
  <si>
    <t>Journal Entries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</si>
  <si>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</si>
  <si>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</si>
  <si>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</si>
  <si>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</si>
  <si>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</si>
  <si>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</si>
  <si>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</si>
  <si>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</si>
  <si>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</si>
  <si>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</si>
  <si>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</si>
  <si>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</si>
  <si>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YTD</t>
  </si>
  <si>
    <t>March</t>
  </si>
  <si>
    <t>April</t>
  </si>
  <si>
    <t>June</t>
  </si>
  <si>
    <t>To Record the Monthly Deferral</t>
  </si>
  <si>
    <t>To Record the Monthly Interest on Over/(Under) Recovery</t>
  </si>
  <si>
    <t>To Record the Monthly Investment (10 Year, Program Investment)</t>
  </si>
  <si>
    <t>To Record the Monthly Amortization (10 Year, Program Investment)</t>
  </si>
  <si>
    <t>To Record the Monthly Amortization (1 Year, 3rd Party Financing)</t>
  </si>
  <si>
    <t xml:space="preserve"> </t>
  </si>
  <si>
    <t>Jersey Central Power &amp; Light</t>
  </si>
  <si>
    <t>RES</t>
  </si>
  <si>
    <t>COM</t>
  </si>
  <si>
    <t>IND</t>
  </si>
  <si>
    <t>JC01</t>
  </si>
  <si>
    <t>OL</t>
  </si>
  <si>
    <t>STLT</t>
  </si>
  <si>
    <t>GP</t>
  </si>
  <si>
    <t>GP_FRAN</t>
  </si>
  <si>
    <t>GS</t>
  </si>
  <si>
    <t>GS_FRAN</t>
  </si>
  <si>
    <t>GST</t>
  </si>
  <si>
    <t>GST_FRAN</t>
  </si>
  <si>
    <t>GT</t>
  </si>
  <si>
    <t>GT_230</t>
  </si>
  <si>
    <t>GT_DOD</t>
  </si>
  <si>
    <t>GT_FRAN</t>
  </si>
  <si>
    <t>GT_PROV_D</t>
  </si>
  <si>
    <t>RS</t>
  </si>
  <si>
    <t>RSH</t>
  </si>
  <si>
    <t>RGT</t>
  </si>
  <si>
    <t>RT</t>
  </si>
  <si>
    <t>RTH</t>
  </si>
  <si>
    <t>Over/(Under)</t>
  </si>
  <si>
    <t>kWh Sales</t>
  </si>
  <si>
    <t>per kWh</t>
  </si>
  <si>
    <t>PSHL</t>
  </si>
  <si>
    <t>Attachment RRC-1</t>
  </si>
  <si>
    <t>Page 4 of 7</t>
  </si>
  <si>
    <t>Tax Rate =</t>
  </si>
  <si>
    <t>Annual</t>
  </si>
  <si>
    <t>Rate*</t>
  </si>
  <si>
    <t>Planning Entity</t>
  </si>
  <si>
    <t>Default - Forecast Periods</t>
  </si>
  <si>
    <t>Apr - 2023</t>
  </si>
  <si>
    <t>May - 2023</t>
  </si>
  <si>
    <t>Jun - 2023</t>
  </si>
  <si>
    <t>Jul - 2023</t>
  </si>
  <si>
    <t>Aug - 2023</t>
  </si>
  <si>
    <t>Sep - 2023</t>
  </si>
  <si>
    <t>Oct - 2023</t>
  </si>
  <si>
    <t>Nov - 2023</t>
  </si>
  <si>
    <t>Dec - 2023</t>
  </si>
  <si>
    <t>Jan - 2024</t>
  </si>
  <si>
    <t>Feb - 2024</t>
  </si>
  <si>
    <t>Mar - 2024</t>
  </si>
  <si>
    <t>Apr - 2024</t>
  </si>
  <si>
    <t>May - 2024</t>
  </si>
  <si>
    <t>Jun - 2024</t>
  </si>
  <si>
    <t>Jul - 2024</t>
  </si>
  <si>
    <t>Aug - 2024</t>
  </si>
  <si>
    <t>Sep - 2024</t>
  </si>
  <si>
    <t>Oct - 2024</t>
  </si>
  <si>
    <t>Nov - 2024</t>
  </si>
  <si>
    <t>Dec - 2024</t>
  </si>
  <si>
    <t>Jan - 2025</t>
  </si>
  <si>
    <t>Feb - 2025</t>
  </si>
  <si>
    <t>Mar - 2025</t>
  </si>
  <si>
    <t>Apr - 2025</t>
  </si>
  <si>
    <t>May - 2025</t>
  </si>
  <si>
    <t>Jun - 2025</t>
  </si>
  <si>
    <t>Jul - 2025</t>
  </si>
  <si>
    <t>Aug - 2025</t>
  </si>
  <si>
    <t>Sep - 2025</t>
  </si>
  <si>
    <t>Oct - 2025</t>
  </si>
  <si>
    <t>Nov - 2025</t>
  </si>
  <si>
    <t>Dec - 2025</t>
  </si>
  <si>
    <t>Jan - 2026</t>
  </si>
  <si>
    <t>Feb - 2026</t>
  </si>
  <si>
    <t>Mar - 2026</t>
  </si>
  <si>
    <t>Apr - 2026</t>
  </si>
  <si>
    <t>May - 2026</t>
  </si>
  <si>
    <t>Jun - 2026</t>
  </si>
  <si>
    <t>Jul - 2026</t>
  </si>
  <si>
    <t>Aug - 2026</t>
  </si>
  <si>
    <t>Sep - 2026</t>
  </si>
  <si>
    <t>Oct - 2026</t>
  </si>
  <si>
    <t>Nov - 2026</t>
  </si>
  <si>
    <t>Dec - 2026</t>
  </si>
  <si>
    <t>Jan - 2027</t>
  </si>
  <si>
    <t>Feb - 2027</t>
  </si>
  <si>
    <t>Mar - 2027</t>
  </si>
  <si>
    <t>Apr - 2027</t>
  </si>
  <si>
    <t>May - 2027</t>
  </si>
  <si>
    <t>Jun - 2027</t>
  </si>
  <si>
    <t>Jul - 2027</t>
  </si>
  <si>
    <t>Aug - 2027</t>
  </si>
  <si>
    <t>Sep - 2027</t>
  </si>
  <si>
    <t>Oct - 2027</t>
  </si>
  <si>
    <t>Nov - 2027</t>
  </si>
  <si>
    <t>Dec - 2027</t>
  </si>
  <si>
    <t>Jan - 2028</t>
  </si>
  <si>
    <t>Feb - 2028</t>
  </si>
  <si>
    <t>Mar - 2028</t>
  </si>
  <si>
    <t>Apr - 2028</t>
  </si>
  <si>
    <t>May - 2028</t>
  </si>
  <si>
    <t>Jun - 2028</t>
  </si>
  <si>
    <t>Jul - 2028</t>
  </si>
  <si>
    <t>Aug - 2028</t>
  </si>
  <si>
    <t>Sep - 2028</t>
  </si>
  <si>
    <t>Oct - 2028</t>
  </si>
  <si>
    <t>Nov - 2028</t>
  </si>
  <si>
    <t>Dec - 2028</t>
  </si>
  <si>
    <t>Jan - 2029</t>
  </si>
  <si>
    <t>Feb - 2029</t>
  </si>
  <si>
    <t>Mar - 2029</t>
  </si>
  <si>
    <t>Apr - 2029</t>
  </si>
  <si>
    <t>May - 2029</t>
  </si>
  <si>
    <t>Jun - 2029</t>
  </si>
  <si>
    <t>Jul - 2029</t>
  </si>
  <si>
    <t>Aug - 2029</t>
  </si>
  <si>
    <t>Sep - 2029</t>
  </si>
  <si>
    <t>Oct - 2029</t>
  </si>
  <si>
    <t>Nov - 2029</t>
  </si>
  <si>
    <t>Dec - 2029</t>
  </si>
  <si>
    <t>Jan - 2030</t>
  </si>
  <si>
    <t>Feb - 2030</t>
  </si>
  <si>
    <t>Mar - 2030</t>
  </si>
  <si>
    <t>Apr - 2030</t>
  </si>
  <si>
    <t>May - 2030</t>
  </si>
  <si>
    <t>Jun - 2030</t>
  </si>
  <si>
    <t>Jul - 2030</t>
  </si>
  <si>
    <t>Aug - 2030</t>
  </si>
  <si>
    <t>Sep - 2030</t>
  </si>
  <si>
    <t>Oct - 2030</t>
  </si>
  <si>
    <t>Nov - 2030</t>
  </si>
  <si>
    <t>Dec - 2030</t>
  </si>
  <si>
    <t>Jan - 2031</t>
  </si>
  <si>
    <t>Feb - 2031</t>
  </si>
  <si>
    <t>Mar - 2031</t>
  </si>
  <si>
    <t>Apr - 2031</t>
  </si>
  <si>
    <t>May - 2031</t>
  </si>
  <si>
    <t>Jun - 2031</t>
  </si>
  <si>
    <t>Jul - 2031</t>
  </si>
  <si>
    <t>Aug - 2031</t>
  </si>
  <si>
    <t>Sep - 2031</t>
  </si>
  <si>
    <t>Oct - 2031</t>
  </si>
  <si>
    <t>Nov - 2031</t>
  </si>
  <si>
    <t>Dec - 2031</t>
  </si>
  <si>
    <t>Jan - 2032</t>
  </si>
  <si>
    <t>Feb - 2032</t>
  </si>
  <si>
    <t>Mar - 2032</t>
  </si>
  <si>
    <t>Apr - 2032</t>
  </si>
  <si>
    <t>May - 2032</t>
  </si>
  <si>
    <t>Jun - 2032</t>
  </si>
  <si>
    <t>Jul - 2032</t>
  </si>
  <si>
    <t>Aug - 2032</t>
  </si>
  <si>
    <t>Sep - 2032</t>
  </si>
  <si>
    <t>Oct - 2032</t>
  </si>
  <si>
    <t>Nov - 2032</t>
  </si>
  <si>
    <t>Dec - 2032</t>
  </si>
  <si>
    <t>Jan - 2033</t>
  </si>
  <si>
    <t>Feb - 2033</t>
  </si>
  <si>
    <t>Mar - 2033</t>
  </si>
  <si>
    <t>Apr - 2033</t>
  </si>
  <si>
    <t>May - 2033</t>
  </si>
  <si>
    <t>Jun - 2033</t>
  </si>
  <si>
    <t>Jul - 2033</t>
  </si>
  <si>
    <t>Aug - 2033</t>
  </si>
  <si>
    <t>Sep - 2033</t>
  </si>
  <si>
    <t>Oct - 2033</t>
  </si>
  <si>
    <t>Nov - 2033</t>
  </si>
  <si>
    <t>Dec - 2033</t>
  </si>
  <si>
    <t>Jan - 2034</t>
  </si>
  <si>
    <t>Feb - 2034</t>
  </si>
  <si>
    <t>Mar - 2034</t>
  </si>
  <si>
    <t>Apr - 2034</t>
  </si>
  <si>
    <t>May - 2034</t>
  </si>
  <si>
    <t>Jun - 2034</t>
  </si>
  <si>
    <t>Jul - 2034</t>
  </si>
  <si>
    <t>Aug - 2034</t>
  </si>
  <si>
    <t>Sep - 2034</t>
  </si>
  <si>
    <t>Oct - 2034</t>
  </si>
  <si>
    <t>Nov - 2034</t>
  </si>
  <si>
    <t>Dec - 2034</t>
  </si>
  <si>
    <t>(AIR)</t>
  </si>
  <si>
    <r>
      <t xml:space="preserve">AIR </t>
    </r>
    <r>
      <rPr>
        <b/>
        <sz val="12"/>
        <color theme="1"/>
        <rFont val="Calibri"/>
        <family val="2"/>
      </rPr>
      <t>÷ 12</t>
    </r>
  </si>
  <si>
    <t>Rate**</t>
  </si>
  <si>
    <t>Rate **</t>
  </si>
  <si>
    <t>Add: 60 Basis Points =</t>
  </si>
  <si>
    <t>Market Yield on U.S. Treasury Securities at 2-Year Constant Maturity =</t>
  </si>
  <si>
    <t xml:space="preserve">Clean Energy Energy Efficiency Program </t>
  </si>
  <si>
    <t xml:space="preserve">Electric Revenue Requirements Calculation </t>
  </si>
  <si>
    <t>Schedule CAP-3</t>
  </si>
  <si>
    <t>Program Investment Amortization</t>
  </si>
  <si>
    <t>Years</t>
  </si>
  <si>
    <t>Monthly WACC Effective 7/1/21</t>
  </si>
  <si>
    <t>Federal &amp; State Income tax rate</t>
  </si>
  <si>
    <t>Outside</t>
  </si>
  <si>
    <t>Book</t>
  </si>
  <si>
    <t xml:space="preserve">Investment </t>
  </si>
  <si>
    <t xml:space="preserve">Monthly </t>
  </si>
  <si>
    <t>Incentives</t>
  </si>
  <si>
    <t>Services</t>
  </si>
  <si>
    <t>O &amp; M</t>
  </si>
  <si>
    <t>Investments</t>
  </si>
  <si>
    <t xml:space="preserve">Investments </t>
  </si>
  <si>
    <t>Tax Basis</t>
  </si>
  <si>
    <t>Income Tax</t>
  </si>
  <si>
    <t>Base</t>
  </si>
  <si>
    <t>Expenses</t>
  </si>
  <si>
    <t>Requirements</t>
  </si>
  <si>
    <t>FERC (182)</t>
  </si>
  <si>
    <t>FERC (407)</t>
  </si>
  <si>
    <t>(1) + (2) +(4) - (8)</t>
  </si>
  <si>
    <t>(3) + (4)</t>
  </si>
  <si>
    <t>(4) + (6) +(7)</t>
  </si>
  <si>
    <t>FERC (283)</t>
  </si>
  <si>
    <t>(12) + (13)</t>
  </si>
  <si>
    <t>(12) + (14)</t>
  </si>
  <si>
    <t>(9) - (14)</t>
  </si>
  <si>
    <t>(15) x WACC</t>
  </si>
  <si>
    <t>FERC (923)</t>
  </si>
  <si>
    <t>(FERC 440-444)</t>
  </si>
  <si>
    <t>Round to</t>
  </si>
  <si>
    <t>Financing Balance</t>
  </si>
  <si>
    <t xml:space="preserve">Outside Service </t>
  </si>
  <si>
    <t>Incentives/</t>
  </si>
  <si>
    <t>Proposed rate without SUT ($/kWh) (Line 9)</t>
  </si>
  <si>
    <t>Proposed rate with SUT ($/kWh) (Line 9 x 1.06625)</t>
  </si>
  <si>
    <t>#</t>
  </si>
  <si>
    <t>Line</t>
  </si>
  <si>
    <t>Rider RRC Rate Calculation and Revenue Calculation</t>
  </si>
  <si>
    <t>For All Components of Rider RRC</t>
  </si>
  <si>
    <t>Rider</t>
  </si>
  <si>
    <t>Page 7 of 7</t>
  </si>
  <si>
    <t>Page 6 of 7</t>
  </si>
  <si>
    <t>Page 5 of 7</t>
  </si>
  <si>
    <t>Page 3 of 7</t>
  </si>
  <si>
    <t>Page 2 of 7</t>
  </si>
  <si>
    <t>Page 1 of 7</t>
  </si>
  <si>
    <t>The RRC costs shall accrue interest on any over or under recovered balances of such costs at the interest</t>
  </si>
  <si>
    <t>rate based on a two-year constant maturity Treasuries as published in the Federal Reserve Statistical</t>
  </si>
  <si>
    <t>Release on the first day of each month (or the closest day thereafter on which rates are published), plus</t>
  </si>
  <si>
    <t>sixty basis points, but shall not exceed the Company’s overall rate of return as approved by the BPU. Such</t>
  </si>
  <si>
    <t>interest rate shall be reset each month. The interest calculation shall be based on the net of tax beginning</t>
  </si>
  <si>
    <t>is accrued annually) on January 1 of each year.</t>
  </si>
  <si>
    <t>May 17, 2004 (Docket No. ER02080506 et al.), compounded annually (added to the balance on which interest</t>
  </si>
  <si>
    <t>and end average monthly balance, consistent with the methodology in the Board’s Final Order dated</t>
  </si>
  <si>
    <t>Forecast Revenue Requirement</t>
  </si>
  <si>
    <t>Reconciliation of Revenues and Revenue Requirements Based on Actual Data</t>
  </si>
  <si>
    <t>CURRENT</t>
  </si>
  <si>
    <t>EE&amp;C-2</t>
  </si>
  <si>
    <t>Check Figures</t>
  </si>
  <si>
    <t>Year</t>
  </si>
  <si>
    <t>Totals</t>
  </si>
  <si>
    <t>Mo.</t>
  </si>
  <si>
    <t>Time Periods of: JC Cycle kWh by Customer Class &amp; Rate Schedule - Vertical</t>
  </si>
  <si>
    <t>Jan - 2035</t>
  </si>
  <si>
    <t>Feb - 2035</t>
  </si>
  <si>
    <t>Mar - 2035</t>
  </si>
  <si>
    <t>Apr - 2035</t>
  </si>
  <si>
    <t>May - 2035</t>
  </si>
  <si>
    <t>Jun - 2035</t>
  </si>
  <si>
    <t>Jul - 2035</t>
  </si>
  <si>
    <t>Aug - 2035</t>
  </si>
  <si>
    <t>Sep - 2035</t>
  </si>
  <si>
    <t>Oct - 2035</t>
  </si>
  <si>
    <t>Nov - 2035</t>
  </si>
  <si>
    <t>Dec - 2035</t>
  </si>
  <si>
    <t>(Income)/</t>
  </si>
  <si>
    <t>Additional Information on Interest and the Interest Computation.</t>
  </si>
  <si>
    <t>Program</t>
  </si>
  <si>
    <t>ATTACHMENT C</t>
  </si>
  <si>
    <t>Schedule CAP-2</t>
  </si>
  <si>
    <t>Clean Energy Energy Efficiency Program</t>
  </si>
  <si>
    <t>Program Expenditures Schedule</t>
  </si>
  <si>
    <t>Yearly Budget</t>
  </si>
  <si>
    <t>Total O &amp; M</t>
  </si>
  <si>
    <t>Program Year</t>
  </si>
  <si>
    <t>Total Company</t>
  </si>
  <si>
    <t>* Program years (1/1/25 to 06/30/25); (7/1/25 to 6/30/26); (7/1/26 to 6/30/27)</t>
  </si>
  <si>
    <t>By Year</t>
  </si>
  <si>
    <t>Services*</t>
  </si>
  <si>
    <t>Year 2025</t>
  </si>
  <si>
    <t>Year 2026</t>
  </si>
  <si>
    <t>Year 2027</t>
  </si>
  <si>
    <t>Total Financing</t>
  </si>
  <si>
    <t>O&amp;M</t>
  </si>
  <si>
    <t>Grand Total</t>
  </si>
  <si>
    <t>Inspections &amp; QC</t>
  </si>
  <si>
    <t>CSP Admin including Financing</t>
  </si>
  <si>
    <t>Marketing</t>
  </si>
  <si>
    <t>State Wide Coordinator</t>
  </si>
  <si>
    <t>6-20-24 Settlement Offfer</t>
  </si>
  <si>
    <t>Utility Labor</t>
  </si>
  <si>
    <t>Tracking &amp; Reporting</t>
  </si>
  <si>
    <t>Work Force Development</t>
  </si>
  <si>
    <t>Health &amp; Safety</t>
  </si>
  <si>
    <t>EM&amp;V</t>
  </si>
  <si>
    <t xml:space="preserve">Incentives </t>
  </si>
  <si>
    <t>(Excludes Net Transfers)</t>
  </si>
  <si>
    <t>Financing Principle</t>
  </si>
  <si>
    <t>Admin/O&amp;M</t>
  </si>
  <si>
    <t>Outside Services Investment</t>
  </si>
  <si>
    <t>Incentives Investment</t>
  </si>
  <si>
    <t>Financing Investment</t>
  </si>
  <si>
    <t>Utility Programs</t>
  </si>
  <si>
    <t>Sector w Util Prog</t>
  </si>
  <si>
    <t>Sector</t>
  </si>
  <si>
    <t>Spare</t>
  </si>
  <si>
    <t>Budget Level</t>
  </si>
  <si>
    <t>PY25</t>
  </si>
  <si>
    <t>PY26</t>
  </si>
  <si>
    <t>PY27</t>
  </si>
  <si>
    <t>Core Utility</t>
  </si>
  <si>
    <t>Res - Core</t>
  </si>
  <si>
    <t>Res</t>
  </si>
  <si>
    <t>Energy Efficient Products</t>
  </si>
  <si>
    <t>Appliance Recycling - Res</t>
  </si>
  <si>
    <t>Appliance Rebate</t>
  </si>
  <si>
    <t>HVAC - Res</t>
  </si>
  <si>
    <t>On-Line Marketplace</t>
  </si>
  <si>
    <t>Whole Home</t>
  </si>
  <si>
    <t>HPwES</t>
  </si>
  <si>
    <t>QHEC</t>
  </si>
  <si>
    <t>Income Qualified - MI Wx</t>
  </si>
  <si>
    <t>MI Weatherization</t>
  </si>
  <si>
    <t>Income Qualified - LI</t>
  </si>
  <si>
    <t>Comfort Partners</t>
  </si>
  <si>
    <t>Behavioral</t>
  </si>
  <si>
    <t>On-Line Audit</t>
  </si>
  <si>
    <t>MF - Core</t>
  </si>
  <si>
    <t>MF</t>
  </si>
  <si>
    <t>Multifamily</t>
  </si>
  <si>
    <t>Multifamily - Eng Sol</t>
  </si>
  <si>
    <t>C&amp;I - Core</t>
  </si>
  <si>
    <t>C&amp;I</t>
  </si>
  <si>
    <t>Direct Install</t>
  </si>
  <si>
    <t>Audits w DI - CI</t>
  </si>
  <si>
    <t>Prescriptive / Custom</t>
  </si>
  <si>
    <t>Appliance Recycling - CI</t>
  </si>
  <si>
    <t>Appliance Rebate - CI</t>
  </si>
  <si>
    <t>Lighting - CI</t>
  </si>
  <si>
    <t>HVAC - CI</t>
  </si>
  <si>
    <t>Food Service - CI</t>
  </si>
  <si>
    <t>Agricultural - CI</t>
  </si>
  <si>
    <t>Custom - CI</t>
  </si>
  <si>
    <t>New Con - CI</t>
  </si>
  <si>
    <t>EC PrscptCust -CI</t>
  </si>
  <si>
    <t>Energy Solutions</t>
  </si>
  <si>
    <t>Bldg Tune Up - CI</t>
  </si>
  <si>
    <t>RCx Virtual - CI</t>
  </si>
  <si>
    <t>Retrocom - CI</t>
  </si>
  <si>
    <t>Bnchmrkg - CI</t>
  </si>
  <si>
    <t>SEM - CI</t>
  </si>
  <si>
    <t>VSEM - CI</t>
  </si>
  <si>
    <t>ESB - Eng Sol</t>
  </si>
  <si>
    <t>Additional Utility</t>
  </si>
  <si>
    <t>Res - DR - Add</t>
  </si>
  <si>
    <t>DR - Res</t>
  </si>
  <si>
    <t>Load Optimization &amp; PDR -  Res</t>
  </si>
  <si>
    <t>Load Cntrl - Res - DR</t>
  </si>
  <si>
    <t>C&amp;I - DR - Add</t>
  </si>
  <si>
    <t>DR - C&amp;I</t>
  </si>
  <si>
    <t>Load Optimization &amp; PDR - C&amp;I</t>
  </si>
  <si>
    <t>Load Cntrl - CI - DR</t>
  </si>
  <si>
    <t>Behave DR</t>
  </si>
  <si>
    <t>Other - Add</t>
  </si>
  <si>
    <t>Other</t>
  </si>
  <si>
    <t>Next Generation Savings</t>
  </si>
  <si>
    <t>Next Gen</t>
  </si>
  <si>
    <t>CVR</t>
  </si>
  <si>
    <t>BD - Res - Add</t>
  </si>
  <si>
    <t>Residential - BD</t>
  </si>
  <si>
    <t>Building Decarbonization - Res</t>
  </si>
  <si>
    <t>Electrification Rebate - Res</t>
  </si>
  <si>
    <t>Electrification DI - Res</t>
  </si>
  <si>
    <t>BD - CI - Add</t>
  </si>
  <si>
    <t>C&amp;I - BD</t>
  </si>
  <si>
    <t>Building Decarbonization - C&amp;I</t>
  </si>
  <si>
    <t>Electrification Rebate - C&amp;I</t>
  </si>
  <si>
    <t>Electrification DI - CI</t>
  </si>
  <si>
    <t>BD - MF - Add</t>
  </si>
  <si>
    <t>Multifamily - BD</t>
  </si>
  <si>
    <t>Building Decarbonization - MF</t>
  </si>
  <si>
    <t>Electrification Rebate - MF</t>
  </si>
  <si>
    <t>Electrification DI - MF</t>
  </si>
  <si>
    <t>WFD</t>
  </si>
  <si>
    <t>Comm Based Org</t>
  </si>
  <si>
    <t>Stip Schedule</t>
  </si>
  <si>
    <t>Efficient Products</t>
  </si>
  <si>
    <t>WFD/Community Based</t>
  </si>
  <si>
    <t>Net Transfers</t>
  </si>
  <si>
    <t>OK</t>
  </si>
  <si>
    <t>ATTACHMENT D</t>
  </si>
  <si>
    <t>Monthly Balance of Financing Investment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</si>
  <si>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</si>
  <si>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</si>
  <si>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</si>
  <si>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</si>
  <si>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</si>
  <si>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</si>
  <si>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</si>
  <si>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</si>
  <si>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</si>
  <si>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</si>
  <si>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</si>
  <si>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</si>
  <si>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</si>
  <si>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</si>
  <si>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</si>
  <si>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</si>
  <si>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</si>
  <si>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</si>
  <si>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</si>
  <si>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</si>
  <si>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</si>
  <si>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</si>
  <si>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</si>
  <si>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</si>
  <si>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</si>
  <si>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</si>
  <si>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</si>
  <si>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</si>
  <si>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</si>
  <si>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</si>
  <si>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</si>
  <si>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</si>
  <si>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</si>
  <si>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</si>
  <si>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</si>
  <si>
    <t>Month 36</t>
  </si>
  <si>
    <t>Month 37</t>
  </si>
  <si>
    <t>Month 38</t>
  </si>
  <si>
    <t>Month 39</t>
  </si>
  <si>
    <t>Month 40</t>
  </si>
  <si>
    <t>Month 41</t>
  </si>
  <si>
    <t>Month 42</t>
  </si>
  <si>
    <t>Month 43</t>
  </si>
  <si>
    <t>Month 44</t>
  </si>
  <si>
    <t>Month 45</t>
  </si>
  <si>
    <t>Month 46</t>
  </si>
  <si>
    <t>Month 47</t>
  </si>
  <si>
    <t>Month 48</t>
  </si>
  <si>
    <t>Month 49</t>
  </si>
  <si>
    <t>Month 50</t>
  </si>
  <si>
    <t>Month 51</t>
  </si>
  <si>
    <t>Month 52</t>
  </si>
  <si>
    <t>Month 53</t>
  </si>
  <si>
    <t>Month 54</t>
  </si>
  <si>
    <t>Month 55</t>
  </si>
  <si>
    <t>Month 56</t>
  </si>
  <si>
    <t>Month 57</t>
  </si>
  <si>
    <t>Month 58</t>
  </si>
  <si>
    <t>Month 59</t>
  </si>
  <si>
    <t>Month 60</t>
  </si>
  <si>
    <t>Month 61</t>
  </si>
  <si>
    <t>Month 62</t>
  </si>
  <si>
    <t>Month 63</t>
  </si>
  <si>
    <t>Month 64</t>
  </si>
  <si>
    <t>Month 65</t>
  </si>
  <si>
    <t>Month 66</t>
  </si>
  <si>
    <t>Month 67</t>
  </si>
  <si>
    <t>Month 68</t>
  </si>
  <si>
    <t>Month 69</t>
  </si>
  <si>
    <t>Month 70</t>
  </si>
  <si>
    <t>Month 71</t>
  </si>
  <si>
    <t>Month 72</t>
  </si>
  <si>
    <t>Month 73</t>
  </si>
  <si>
    <t>Month 74</t>
  </si>
  <si>
    <t>Month 75</t>
  </si>
  <si>
    <t>Month 76</t>
  </si>
  <si>
    <t>Month 77</t>
  </si>
  <si>
    <t>Month 78</t>
  </si>
  <si>
    <t>Month 79</t>
  </si>
  <si>
    <t>Month 80</t>
  </si>
  <si>
    <t>Month 81</t>
  </si>
  <si>
    <t>Month 82</t>
  </si>
  <si>
    <t>Month 83</t>
  </si>
  <si>
    <t>Month 84</t>
  </si>
  <si>
    <t>Month 85</t>
  </si>
  <si>
    <t>Month 86</t>
  </si>
  <si>
    <t>Month 87</t>
  </si>
  <si>
    <t>Month 88</t>
  </si>
  <si>
    <t>Month 89</t>
  </si>
  <si>
    <t>Month 90</t>
  </si>
  <si>
    <t>Month 91</t>
  </si>
  <si>
    <t>Month 92</t>
  </si>
  <si>
    <t>Month 93</t>
  </si>
  <si>
    <t>Month 94</t>
  </si>
  <si>
    <t>Month 95</t>
  </si>
  <si>
    <t>Month 96</t>
  </si>
  <si>
    <t>Month 97</t>
  </si>
  <si>
    <t>Month 98</t>
  </si>
  <si>
    <t>Month 99</t>
  </si>
  <si>
    <t>Month 100</t>
  </si>
  <si>
    <t>Month 101</t>
  </si>
  <si>
    <t>Month 102</t>
  </si>
  <si>
    <t>Month 103</t>
  </si>
  <si>
    <t>Month 104</t>
  </si>
  <si>
    <t>Month 105</t>
  </si>
  <si>
    <t>Month 106</t>
  </si>
  <si>
    <t>Month 107</t>
  </si>
  <si>
    <t>Month 108</t>
  </si>
  <si>
    <t>Month 109</t>
  </si>
  <si>
    <t>Month 110</t>
  </si>
  <si>
    <t>Month 111</t>
  </si>
  <si>
    <t>Month 112</t>
  </si>
  <si>
    <t>Month 113</t>
  </si>
  <si>
    <t>Month 114</t>
  </si>
  <si>
    <t>Month 115</t>
  </si>
  <si>
    <t>Month 116</t>
  </si>
  <si>
    <t>Month 117</t>
  </si>
  <si>
    <t>Month 118</t>
  </si>
  <si>
    <t>Month 119</t>
  </si>
  <si>
    <t>Month 120</t>
  </si>
  <si>
    <t>Month 121</t>
  </si>
  <si>
    <t>Month 122</t>
  </si>
  <si>
    <t>Month 123</t>
  </si>
  <si>
    <t>Month 124</t>
  </si>
  <si>
    <t>Month 125</t>
  </si>
  <si>
    <t>Month 126</t>
  </si>
  <si>
    <t>Month 127</t>
  </si>
  <si>
    <t>Month 128</t>
  </si>
  <si>
    <t>Month 129</t>
  </si>
  <si>
    <t>Month 130</t>
  </si>
  <si>
    <t>Month 131</t>
  </si>
  <si>
    <t>Month 132</t>
  </si>
  <si>
    <t>Month 133</t>
  </si>
  <si>
    <t>Month 134</t>
  </si>
  <si>
    <t>Month 135</t>
  </si>
  <si>
    <t>Month 136</t>
  </si>
  <si>
    <t>Month 137</t>
  </si>
  <si>
    <t>Month 138</t>
  </si>
  <si>
    <t>Month 139</t>
  </si>
  <si>
    <t>Month 140</t>
  </si>
  <si>
    <t>Month 141</t>
  </si>
  <si>
    <t>Month 142</t>
  </si>
  <si>
    <t>Month 143</t>
  </si>
  <si>
    <t>Month 144</t>
  </si>
  <si>
    <t>Month 145</t>
  </si>
  <si>
    <t>Month 146</t>
  </si>
  <si>
    <t>Month 147</t>
  </si>
  <si>
    <t>Month 148</t>
  </si>
  <si>
    <t>Month 149</t>
  </si>
  <si>
    <t>Month 150</t>
  </si>
  <si>
    <t>Month 151</t>
  </si>
  <si>
    <t>Month 152</t>
  </si>
  <si>
    <t>Month 153</t>
  </si>
  <si>
    <t>Month 154</t>
  </si>
  <si>
    <t>Month 155</t>
  </si>
  <si>
    <t>Month 156</t>
  </si>
  <si>
    <t>ATTACHMENT B</t>
  </si>
  <si>
    <t>Schedule CAP-1</t>
  </si>
  <si>
    <t>Weighted Average Cost of Capital (WACC)</t>
  </si>
  <si>
    <t>Pre-Tax</t>
  </si>
  <si>
    <t>Weighted</t>
  </si>
  <si>
    <t xml:space="preserve">Weighted </t>
  </si>
  <si>
    <t>Discount</t>
  </si>
  <si>
    <t>Percent</t>
  </si>
  <si>
    <t>Cost</t>
  </si>
  <si>
    <t>Multiplier</t>
  </si>
  <si>
    <t>Long Term Debt</t>
  </si>
  <si>
    <t>Common Equity</t>
  </si>
  <si>
    <t>Monthly WACC</t>
  </si>
  <si>
    <t>Federal and State Income Tax rate</t>
  </si>
  <si>
    <t>ATTACHMENT E</t>
  </si>
  <si>
    <t>Schedule CAP-4</t>
  </si>
  <si>
    <t xml:space="preserve">Proposed Rate Calculation </t>
  </si>
  <si>
    <t>(In $ per kWh)</t>
  </si>
  <si>
    <t xml:space="preserve">to </t>
  </si>
  <si>
    <t>Line #</t>
  </si>
  <si>
    <t>Comments</t>
  </si>
  <si>
    <t>Schedule CAP-3, Col. 6 + Col. 7</t>
  </si>
  <si>
    <t xml:space="preserve">Schedule CAP-3, Col. 16 </t>
  </si>
  <si>
    <t>Schedule CAP-3, Col. 17</t>
  </si>
  <si>
    <t>less Revenue offsets</t>
  </si>
  <si>
    <t>Revenue Requirements</t>
  </si>
  <si>
    <t>Schedule CAP-3, Col 18</t>
  </si>
  <si>
    <t>Forecasted kWh</t>
  </si>
  <si>
    <t>Proposed rate w/o SUT ($/kWh)</t>
  </si>
  <si>
    <t>Line 5 / Line 6 (rounded 6 dec. pts.)</t>
  </si>
  <si>
    <t>Proposed rate w SUT ($/kWh)</t>
  </si>
  <si>
    <t>Line 7 x (1 + 6.625%)</t>
  </si>
  <si>
    <t>Revenues received</t>
  </si>
  <si>
    <t>Line 8 x Line 6</t>
  </si>
  <si>
    <t>ATTACHMENT J</t>
  </si>
  <si>
    <t>Schedule CAP-9</t>
  </si>
  <si>
    <t>Proforma Income Statement  &amp; Balance Sheet</t>
  </si>
  <si>
    <t>For Program Year Ending June 30th of Each Year</t>
  </si>
  <si>
    <t>INCOME STATEMENT</t>
  </si>
  <si>
    <t>Program Year Ending</t>
  </si>
  <si>
    <t>Year Ending</t>
  </si>
  <si>
    <t>2025</t>
  </si>
  <si>
    <t>2026</t>
  </si>
  <si>
    <t>2027</t>
  </si>
  <si>
    <t>Operating Revenues w/ SUT</t>
  </si>
  <si>
    <t>less SUT</t>
  </si>
  <si>
    <t>Net Operating Revenues</t>
  </si>
  <si>
    <t>Operating Expenses</t>
  </si>
  <si>
    <t>Operating &amp; Maintenance Expense</t>
  </si>
  <si>
    <t>Total Operating Expense</t>
  </si>
  <si>
    <t>Operating Income</t>
  </si>
  <si>
    <t>Interest Expense</t>
  </si>
  <si>
    <t>Income before Income Taxes</t>
  </si>
  <si>
    <t>Income Tax Expense</t>
  </si>
  <si>
    <t>Net Income</t>
  </si>
  <si>
    <t>($millions)</t>
  </si>
  <si>
    <t>BALANCE SHEET</t>
  </si>
  <si>
    <t>Shares</t>
  </si>
  <si>
    <t>Assets</t>
  </si>
  <si>
    <t>EPS</t>
  </si>
  <si>
    <t>Regulatory Asset - Capitalized Program Expenditures</t>
  </si>
  <si>
    <t>less Accumulated Amortization</t>
  </si>
  <si>
    <t>Net Regulatory Assets</t>
  </si>
  <si>
    <t>Total Assets</t>
  </si>
  <si>
    <t>Liabilities &amp; Capitalization</t>
  </si>
  <si>
    <t>Liabilities</t>
  </si>
  <si>
    <t>Deferred Income Taxes</t>
  </si>
  <si>
    <t>Capitalization</t>
  </si>
  <si>
    <t xml:space="preserve">Debt </t>
  </si>
  <si>
    <t>Total  Capitalization</t>
  </si>
  <si>
    <t>Total Liabilities &amp; Capitalization</t>
  </si>
  <si>
    <t xml:space="preserve">Projected Revenue Requirement </t>
  </si>
  <si>
    <t>To Record the Monthly Financing Balance Investment</t>
  </si>
  <si>
    <t>Reconciliation of Revenues and Revenue Requirements Based on Actual/Forecast Data</t>
  </si>
  <si>
    <t>Total kWh</t>
  </si>
  <si>
    <t>kWh Sales 7/2025 to 6/2026</t>
  </si>
  <si>
    <t>SREC Revenues</t>
  </si>
  <si>
    <t>TREC Revenues</t>
  </si>
  <si>
    <t>SuSI Revenues</t>
  </si>
  <si>
    <t>CSP  Revenues</t>
  </si>
  <si>
    <t>Subtotal</t>
  </si>
  <si>
    <t>EEC Revenues</t>
  </si>
  <si>
    <t>EEC2 Revenues</t>
  </si>
  <si>
    <t>Total RRC</t>
  </si>
  <si>
    <t>7/1/2025-6/30/2026</t>
  </si>
  <si>
    <t>Mo</t>
  </si>
  <si>
    <t>July</t>
  </si>
  <si>
    <t>Sept</t>
  </si>
  <si>
    <t>TOTALS</t>
  </si>
  <si>
    <t>NO LONGER NECESSARY IN EEC2</t>
  </si>
  <si>
    <t>EE&amp;C2</t>
  </si>
  <si>
    <t xml:space="preserve">Energy Efficiency &amp; Conservation Triennium 2 Program ("EE&amp;C2")  </t>
  </si>
  <si>
    <t>Actual EE&amp;C2 Revenues by Rate Class</t>
  </si>
  <si>
    <t>Actual EE&amp;C2</t>
  </si>
  <si>
    <t>JCP&amp;L EE&amp;C2 Investments</t>
  </si>
  <si>
    <t>EE&amp;C2 Rate</t>
  </si>
  <si>
    <t>Forecast EE&amp;C2 Annual Interest Rate =</t>
  </si>
  <si>
    <t>EE&amp;C2 Component of the RRC Rider Charge</t>
  </si>
  <si>
    <t>EE&amp;C2 Net Revenue Requirement Calculation</t>
  </si>
  <si>
    <t>Current Rider EE&amp;C2 ($ per kWh) before SUT</t>
  </si>
  <si>
    <t xml:space="preserve">Proposed Rider EE&amp;C2 Revenue Increase  (L8 x L11 x 1,000) </t>
  </si>
  <si>
    <t>Total Rider EE&amp;C2 Revenue Requirement (L8 x L13 x 1,000)</t>
  </si>
  <si>
    <t>182562 - Other Regulatory Asset - EE&amp;C2 Deferral</t>
  </si>
  <si>
    <t>182135 - Other Regulatory Asset - EE&amp;C2 Investment</t>
  </si>
  <si>
    <t>182135 - Other Regulatory Asset - EE&amp;C2 Investment Amortization</t>
  </si>
  <si>
    <t>Actual/Fcst</t>
  </si>
  <si>
    <t>Forecast</t>
  </si>
  <si>
    <t>7/1/26-6/30/27</t>
  </si>
  <si>
    <t>Effective July 1, 2026</t>
  </si>
  <si>
    <t>For the Period July 1, 2026 to June 30, 2027</t>
  </si>
  <si>
    <t>Forecasted Revenues</t>
  </si>
  <si>
    <t xml:space="preserve">Reconciliation of Revenues and Revenue Requirements Based on Forecast Data </t>
  </si>
  <si>
    <t>Total Net Revenue Requirement - 7/1/26 - 6/30/27</t>
  </si>
  <si>
    <t>Total Projected Revenue Requirement - 7/1/26 - 6/30/27</t>
  </si>
  <si>
    <t>Forecast MWh Sales for the 12 Months Ended June 30, 2027</t>
  </si>
  <si>
    <t>Current Rates</t>
  </si>
  <si>
    <t>New Rates</t>
  </si>
  <si>
    <t>Increase</t>
  </si>
  <si>
    <t>2024 Amended Filing Increase</t>
  </si>
  <si>
    <t>EE&amp;C2 Proposed Rates, Effective July 1, 2026:</t>
  </si>
  <si>
    <t>Proposed Increase in Rider EE&amp;C2 ($ per kWh) before SUT (L9-L10), Effective July 1, 2026</t>
  </si>
  <si>
    <t>Incremental Increase</t>
  </si>
  <si>
    <t>Actual/Forecast Monthly Revenue Requirement (7/1/25 to 6/30/26)</t>
  </si>
  <si>
    <t>For the 12 Month EE&amp;C2 Program Year July 1, 2026 to June 30, 2027</t>
  </si>
  <si>
    <t>Actual Reconciliation (Over)/Under Collection 7/1/25 to 12/31/25, Forecasted Reconciliation 1/1/26 to 6/30/26</t>
  </si>
  <si>
    <t>Proposed Tariff Rider EE&amp;C2 ($ per kWh) before SUT (L7 ÷ L8), Effective July 1, 2026</t>
  </si>
  <si>
    <t xml:space="preserve">** Forecast annual interest rate based on rate at 12/1/2025 + 60 basis points as computed below. </t>
  </si>
  <si>
    <t>Carry Forward</t>
  </si>
  <si>
    <t>Proposed Rates Effective 7/1/2026</t>
  </si>
  <si>
    <r>
      <rPr>
        <b/>
        <sz val="12"/>
        <color theme="1"/>
        <rFont val="Arial"/>
        <family val="2"/>
      </rPr>
      <t>407135</t>
    </r>
    <r>
      <rPr>
        <sz val="12"/>
        <color theme="1"/>
        <rFont val="Arial"/>
        <family val="2"/>
      </rPr>
      <t xml:space="preserve"> - Amortization - Regulatory Asset (CC 461019)</t>
    </r>
  </si>
  <si>
    <r>
      <rPr>
        <b/>
        <sz val="12"/>
        <color theme="1"/>
        <rFont val="Arial"/>
        <family val="2"/>
      </rPr>
      <t>182135</t>
    </r>
    <r>
      <rPr>
        <sz val="12"/>
        <color theme="1"/>
        <rFont val="Arial"/>
        <family val="2"/>
      </rPr>
      <t xml:space="preserve"> - Other Regulatory Asset - EE&amp;C Investment Amortization</t>
    </r>
  </si>
  <si>
    <r>
      <rPr>
        <b/>
        <sz val="12"/>
        <color theme="1"/>
        <rFont val="Calibri"/>
        <family val="2"/>
      </rPr>
      <t xml:space="preserve">407850 </t>
    </r>
    <r>
      <rPr>
        <sz val="12"/>
        <color theme="1"/>
        <rFont val="Calibri"/>
        <family val="2"/>
      </rPr>
      <t>- Regulatory Debits (CC 461019)</t>
    </r>
  </si>
  <si>
    <r>
      <rPr>
        <b/>
        <sz val="12"/>
        <color theme="1"/>
        <rFont val="Calibri"/>
        <family val="2"/>
      </rPr>
      <t>182562</t>
    </r>
    <r>
      <rPr>
        <sz val="12"/>
        <color theme="1"/>
        <rFont val="Calibri"/>
        <family val="2"/>
      </rPr>
      <t xml:space="preserve"> - Other Regulatory Asset </t>
    </r>
  </si>
  <si>
    <r>
      <rPr>
        <b/>
        <sz val="12"/>
        <color theme="1"/>
        <rFont val="Calibri"/>
        <family val="2"/>
      </rPr>
      <t>419003</t>
    </r>
    <r>
      <rPr>
        <sz val="12"/>
        <color theme="1"/>
        <rFont val="Calibri"/>
        <family val="2"/>
      </rPr>
      <t xml:space="preserve"> - Interest Income (CC 461019)</t>
    </r>
  </si>
  <si>
    <r>
      <rPr>
        <b/>
        <sz val="12"/>
        <color theme="1"/>
        <rFont val="Calibri"/>
        <family val="2"/>
      </rPr>
      <t>431125</t>
    </r>
    <r>
      <rPr>
        <sz val="12"/>
        <color theme="1"/>
        <rFont val="Calibri"/>
        <family val="2"/>
      </rPr>
      <t xml:space="preserve"> - Interest Expense (CC 461019)</t>
    </r>
  </si>
  <si>
    <r>
      <rPr>
        <b/>
        <sz val="12"/>
        <color theme="1"/>
        <rFont val="Calibri"/>
        <family val="2"/>
      </rPr>
      <t>407135</t>
    </r>
    <r>
      <rPr>
        <sz val="12"/>
        <color theme="1"/>
        <rFont val="Calibri"/>
        <family val="2"/>
      </rPr>
      <t xml:space="preserve"> - Investment - Regulatory Asset (CC 461019)</t>
    </r>
  </si>
  <si>
    <r>
      <rPr>
        <b/>
        <sz val="12"/>
        <color theme="1"/>
        <rFont val="Calibri"/>
        <family val="2"/>
      </rPr>
      <t>407135</t>
    </r>
    <r>
      <rPr>
        <sz val="12"/>
        <color theme="1"/>
        <rFont val="Calibri"/>
        <family val="2"/>
      </rPr>
      <t xml:space="preserve"> - Amortization - Regulatory Asset (CC 461019)</t>
    </r>
  </si>
  <si>
    <t>Attachment EE&amp;C2-1</t>
  </si>
  <si>
    <t>Rider RRC Rate and Revenue Calculations</t>
  </si>
  <si>
    <t>Proposed Rates Effective July 1,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</si>
</sst>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%"/>
    <numFmt numFmtId="167" formatCode="0.00000%"/>
    <numFmt numFmtId="168" formatCode="_(&quot;$&quot;* #,##0.000000_);_(&quot;$&quot;* \(#,##0.000000\);_(&quot;$&quot;* &quot;-&quot;??_);_(@_)"/>
    <numFmt numFmtId="169" formatCode="_(* #,##0.000000_);_(* \(#,##0.000000\);_(* &quot;-&quot;??_);_(@_)"/>
    <numFmt numFmtId="170" formatCode="#,##0_);[Red]\(#,##0\);&quot; &quot;"/>
    <numFmt numFmtId="171" formatCode="0_);\(0\)"/>
    <numFmt numFmtId="172" formatCode="_(* #,##0.000000_);_(* \(#,##0.000000\);_(* &quot;-&quot;??????_);_(@_)"/>
    <numFmt numFmtId="173" formatCode="_(&quot;$&quot;* #,##0.0_);_(&quot;$&quot;* \(#,##0.0\);_(&quot;$&quot;* &quot;-&quot;??_);_(@_)"/>
    <numFmt numFmtId="174" formatCode="0.0%"/>
    <numFmt numFmtId="175" formatCode="0.000%"/>
    <numFmt numFmtId="176" formatCode="_(* #,##0.00000_);_(* \(#,##0.00000\);_(* &quot;-&quot;??_);_(@_)"/>
    <numFmt numFmtId="177" formatCode="&quot;$&quot;#,##0.000000_);\(&quot;$&quot;#,##0.000000\)"/>
    <numFmt numFmtId="178" formatCode="0.00000000%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name val="Calibri"/>
      <family val="2"/>
    </font>
    <font>
      <sz val="11"/>
      <color theme="1"/>
      <name val="Calibri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u val="singleAccounting"/>
      <sz val="12"/>
      <color theme="1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  <font>
      <b/>
      <u val="doubleAccounting"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212121"/>
      <name val="Segoe UI"/>
      <family val="2"/>
    </font>
    <font>
      <b/>
      <sz val="12"/>
      <color theme="1"/>
      <name val="Times New Roman"/>
      <family val="1"/>
    </font>
    <font>
      <sz val="10.5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/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2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</cellStyleXfs>
  <cellXfs count="56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17" fontId="0" fillId="0" borderId="0" xfId="0" applyNumberFormat="1"/>
    <xf numFmtId="164" fontId="0" fillId="0" borderId="0" xfId="1" applyNumberFormat="1" applyFont="1"/>
    <xf numFmtId="165" fontId="0" fillId="0" borderId="0" xfId="2" applyNumberFormat="1" applyFont="1"/>
    <xf numFmtId="165" fontId="0" fillId="0" borderId="0" xfId="0" applyNumberFormat="1"/>
    <xf numFmtId="167" fontId="2" fillId="0" borderId="0" xfId="3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164" fontId="0" fillId="0" borderId="0" xfId="1" applyNumberFormat="1" applyFont="1" applyBorder="1"/>
    <xf numFmtId="164" fontId="0" fillId="0" borderId="0" xfId="0" applyNumberFormat="1"/>
    <xf numFmtId="44" fontId="0" fillId="0" borderId="0" xfId="0" applyNumberFormat="1"/>
    <xf numFmtId="43" fontId="0" fillId="0" borderId="0" xfId="0" applyNumberFormat="1"/>
    <xf numFmtId="169" fontId="0" fillId="0" borderId="0" xfId="1" applyNumberFormat="1" applyFont="1"/>
    <xf numFmtId="169" fontId="0" fillId="0" borderId="0" xfId="0" applyNumberFormat="1"/>
    <xf numFmtId="164" fontId="1" fillId="0" borderId="0" xfId="1" applyNumberFormat="1" applyFont="1"/>
    <xf numFmtId="164" fontId="0" fillId="0" borderId="17" xfId="1" applyNumberFormat="1" applyFont="1" applyBorder="1"/>
    <xf numFmtId="0" fontId="2" fillId="0" borderId="0" xfId="0" applyFont="1" applyAlignment="1">
      <alignment horizontal="centerContinuous"/>
    </xf>
    <xf numFmtId="0" fontId="2" fillId="0" borderId="0" xfId="0" applyFont="1" applyAlignment="1">
      <alignment horizontal="right"/>
    </xf>
    <xf numFmtId="8" fontId="0" fillId="0" borderId="0" xfId="0" applyNumberForma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17" fontId="9" fillId="0" borderId="0" xfId="0" applyNumberFormat="1" applyFont="1" applyAlignment="1">
      <alignment horizontal="center"/>
    </xf>
    <xf numFmtId="165" fontId="9" fillId="0" borderId="0" xfId="2" applyNumberFormat="1" applyFont="1"/>
    <xf numFmtId="164" fontId="9" fillId="0" borderId="0" xfId="1" applyNumberFormat="1" applyFont="1"/>
    <xf numFmtId="164" fontId="9" fillId="0" borderId="0" xfId="1" applyNumberFormat="1" applyFont="1" applyFill="1"/>
    <xf numFmtId="0" fontId="9" fillId="0" borderId="18" xfId="0" applyFont="1" applyBorder="1" applyAlignment="1">
      <alignment horizontal="center" vertical="center"/>
    </xf>
    <xf numFmtId="165" fontId="9" fillId="0" borderId="18" xfId="0" applyNumberFormat="1" applyFont="1" applyBorder="1" applyAlignment="1">
      <alignment vertical="center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11" fillId="2" borderId="0" xfId="0" applyFont="1" applyFill="1" applyAlignment="1">
      <alignment horizontal="centerContinuous"/>
    </xf>
    <xf numFmtId="0" fontId="10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17" fontId="0" fillId="0" borderId="0" xfId="0" applyNumberFormat="1" applyAlignment="1">
      <alignment horizontal="center"/>
    </xf>
    <xf numFmtId="164" fontId="1" fillId="0" borderId="0" xfId="1" applyNumberFormat="1" applyFont="1" applyFill="1"/>
    <xf numFmtId="165" fontId="0" fillId="0" borderId="18" xfId="2" applyNumberFormat="1" applyFont="1" applyBorder="1"/>
    <xf numFmtId="167" fontId="2" fillId="3" borderId="2" xfId="3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0" fontId="2" fillId="3" borderId="2" xfId="3" applyNumberFormat="1" applyFont="1" applyFill="1" applyBorder="1" applyAlignment="1">
      <alignment horizontal="center"/>
    </xf>
    <xf numFmtId="0" fontId="12" fillId="0" borderId="0" xfId="0" applyFont="1" applyAlignment="1">
      <alignment horizontal="centerContinuous" vertical="center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165" fontId="9" fillId="0" borderId="0" xfId="0" applyNumberFormat="1" applyFont="1"/>
    <xf numFmtId="165" fontId="9" fillId="0" borderId="18" xfId="2" applyNumberFormat="1" applyFont="1" applyBorder="1"/>
    <xf numFmtId="0" fontId="3" fillId="0" borderId="1" xfId="0" applyFont="1" applyBorder="1" applyAlignment="1">
      <alignment horizontal="centerContinuous"/>
    </xf>
    <xf numFmtId="0" fontId="9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9" fillId="0" borderId="0" xfId="0" applyFont="1" applyAlignment="1">
      <alignment horizontal="centerContinuous" wrapText="1"/>
    </xf>
    <xf numFmtId="0" fontId="13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 vertical="center" wrapText="1"/>
    </xf>
    <xf numFmtId="0" fontId="14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168" fontId="9" fillId="0" borderId="0" xfId="2" applyNumberFormat="1" applyFont="1"/>
    <xf numFmtId="169" fontId="9" fillId="0" borderId="0" xfId="1" applyNumberFormat="1" applyFont="1"/>
    <xf numFmtId="169" fontId="9" fillId="0" borderId="0" xfId="0" applyNumberFormat="1" applyFont="1"/>
    <xf numFmtId="164" fontId="9" fillId="0" borderId="0" xfId="0" applyNumberFormat="1" applyFont="1" applyAlignment="1">
      <alignment horizontal="center"/>
    </xf>
    <xf numFmtId="10" fontId="9" fillId="0" borderId="0" xfId="3" applyNumberFormat="1" applyFont="1"/>
    <xf numFmtId="165" fontId="9" fillId="0" borderId="18" xfId="0" applyNumberFormat="1" applyFont="1" applyBorder="1"/>
    <xf numFmtId="0" fontId="9" fillId="2" borderId="0" xfId="0" applyFont="1" applyFill="1" applyAlignment="1">
      <alignment horizontal="centerContinuous"/>
    </xf>
    <xf numFmtId="164" fontId="9" fillId="0" borderId="18" xfId="0" applyNumberFormat="1" applyFont="1" applyBorder="1"/>
    <xf numFmtId="44" fontId="9" fillId="0" borderId="0" xfId="2" applyFont="1"/>
    <xf numFmtId="44" fontId="9" fillId="0" borderId="0" xfId="0" applyNumberFormat="1" applyFont="1"/>
    <xf numFmtId="166" fontId="9" fillId="0" borderId="0" xfId="3" applyNumberFormat="1" applyFont="1" applyAlignment="1">
      <alignment horizontal="center"/>
    </xf>
    <xf numFmtId="0" fontId="16" fillId="0" borderId="31" xfId="0" applyFont="1" applyBorder="1" applyAlignment="1">
      <alignment horizontal="center" vertical="center" wrapText="1"/>
    </xf>
    <xf numFmtId="170" fontId="0" fillId="0" borderId="0" xfId="0" applyNumberFormat="1"/>
    <xf numFmtId="0" fontId="15" fillId="0" borderId="0" xfId="0" applyFont="1" applyAlignment="1">
      <alignment horizontal="centerContinuous"/>
    </xf>
    <xf numFmtId="0" fontId="0" fillId="0" borderId="0" xfId="0" applyAlignment="1">
      <alignment horizontal="right"/>
    </xf>
    <xf numFmtId="43" fontId="9" fillId="0" borderId="0" xfId="0" applyNumberFormat="1" applyFont="1"/>
    <xf numFmtId="10" fontId="9" fillId="0" borderId="0" xfId="3" applyNumberFormat="1" applyFont="1" applyAlignment="1">
      <alignment horizontal="center"/>
    </xf>
    <xf numFmtId="10" fontId="9" fillId="0" borderId="18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165" fontId="0" fillId="3" borderId="0" xfId="2" applyNumberFormat="1" applyFont="1" applyFill="1"/>
    <xf numFmtId="164" fontId="0" fillId="3" borderId="0" xfId="1" applyNumberFormat="1" applyFont="1" applyFill="1"/>
    <xf numFmtId="0" fontId="18" fillId="0" borderId="0" xfId="0" applyFont="1"/>
    <xf numFmtId="165" fontId="3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43" fontId="3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9" fillId="0" borderId="5" xfId="0" applyFont="1" applyBorder="1"/>
    <xf numFmtId="0" fontId="3" fillId="0" borderId="5" xfId="0" applyFont="1" applyBorder="1"/>
    <xf numFmtId="0" fontId="0" fillId="0" borderId="7" xfId="0" applyBorder="1"/>
    <xf numFmtId="0" fontId="9" fillId="0" borderId="32" xfId="0" applyFont="1" applyBorder="1"/>
    <xf numFmtId="10" fontId="0" fillId="0" borderId="0" xfId="0" applyNumberFormat="1"/>
    <xf numFmtId="0" fontId="9" fillId="0" borderId="11" xfId="0" applyFont="1" applyBorder="1"/>
    <xf numFmtId="0" fontId="9" fillId="0" borderId="33" xfId="0" applyFont="1" applyBorder="1"/>
    <xf numFmtId="167" fontId="9" fillId="0" borderId="33" xfId="3" applyNumberFormat="1" applyFont="1" applyFill="1" applyBorder="1"/>
    <xf numFmtId="0" fontId="0" fillId="0" borderId="8" xfId="0" applyBorder="1"/>
    <xf numFmtId="0" fontId="0" fillId="0" borderId="6" xfId="0" applyBorder="1"/>
    <xf numFmtId="0" fontId="0" fillId="0" borderId="34" xfId="0" applyBorder="1"/>
    <xf numFmtId="10" fontId="0" fillId="0" borderId="34" xfId="0" applyNumberFormat="1" applyBorder="1"/>
    <xf numFmtId="171" fontId="0" fillId="0" borderId="0" xfId="0" quotePrefix="1" applyNumberFormat="1" applyAlignment="1">
      <alignment horizontal="center"/>
    </xf>
    <xf numFmtId="0" fontId="2" fillId="0" borderId="0" xfId="0" applyFont="1" applyAlignment="1">
      <alignment horizontal="center" wrapText="1"/>
    </xf>
    <xf numFmtId="165" fontId="0" fillId="0" borderId="0" xfId="2" applyNumberFormat="1" applyFont="1" applyFill="1"/>
    <xf numFmtId="164" fontId="0" fillId="0" borderId="0" xfId="1" applyNumberFormat="1" applyFont="1" applyFill="1"/>
    <xf numFmtId="165" fontId="0" fillId="0" borderId="0" xfId="2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7" fontId="0" fillId="0" borderId="1" xfId="0" applyNumberFormat="1" applyBorder="1"/>
    <xf numFmtId="164" fontId="0" fillId="0" borderId="1" xfId="1" applyNumberFormat="1" applyFont="1" applyFill="1" applyBorder="1"/>
    <xf numFmtId="165" fontId="0" fillId="0" borderId="1" xfId="2" applyNumberFormat="1" applyFont="1" applyFill="1" applyBorder="1"/>
    <xf numFmtId="165" fontId="0" fillId="0" borderId="1" xfId="0" applyNumberFormat="1" applyBorder="1"/>
    <xf numFmtId="164" fontId="0" fillId="0" borderId="1" xfId="1" applyNumberFormat="1" applyFont="1" applyFill="1" applyBorder="1" applyAlignment="1">
      <alignment horizontal="center"/>
    </xf>
    <xf numFmtId="164" fontId="1" fillId="0" borderId="1" xfId="1" applyNumberFormat="1" applyFont="1" applyFill="1" applyBorder="1"/>
    <xf numFmtId="164" fontId="1" fillId="0" borderId="1" xfId="1" applyNumberFormat="1" applyFont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/>
    </xf>
    <xf numFmtId="164" fontId="4" fillId="0" borderId="0" xfId="1" applyNumberFormat="1" applyFont="1" applyFill="1"/>
    <xf numFmtId="164" fontId="1" fillId="0" borderId="0" xfId="1" applyNumberFormat="1" applyFont="1" applyFill="1" applyAlignment="1">
      <alignment horizontal="center"/>
    </xf>
    <xf numFmtId="164" fontId="4" fillId="0" borderId="1" xfId="1" applyNumberFormat="1" applyFont="1" applyFill="1" applyBorder="1"/>
    <xf numFmtId="164" fontId="4" fillId="0" borderId="0" xfId="1" applyNumberFormat="1" applyFont="1" applyFill="1" applyAlignment="1">
      <alignment horizontal="center"/>
    </xf>
    <xf numFmtId="41" fontId="0" fillId="0" borderId="0" xfId="0" applyNumberFormat="1"/>
    <xf numFmtId="41" fontId="9" fillId="0" borderId="0" xfId="0" applyNumberFormat="1" applyFont="1"/>
    <xf numFmtId="164" fontId="3" fillId="0" borderId="0" xfId="1" applyNumberFormat="1" applyFont="1"/>
    <xf numFmtId="37" fontId="19" fillId="0" borderId="35" xfId="1" applyNumberFormat="1" applyFont="1" applyBorder="1" applyAlignment="1">
      <alignment horizontal="center"/>
    </xf>
    <xf numFmtId="44" fontId="0" fillId="0" borderId="0" xfId="2" applyFont="1"/>
    <xf numFmtId="17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165" fontId="0" fillId="3" borderId="0" xfId="0" applyNumberFormat="1" applyFill="1"/>
    <xf numFmtId="164" fontId="0" fillId="3" borderId="0" xfId="1" applyNumberFormat="1" applyFont="1" applyFill="1" applyAlignment="1">
      <alignment horizontal="center"/>
    </xf>
    <xf numFmtId="17" fontId="0" fillId="3" borderId="1" xfId="0" applyNumberFormat="1" applyFill="1" applyBorder="1"/>
    <xf numFmtId="164" fontId="0" fillId="3" borderId="1" xfId="1" applyNumberFormat="1" applyFont="1" applyFill="1" applyBorder="1"/>
    <xf numFmtId="165" fontId="0" fillId="3" borderId="1" xfId="2" applyNumberFormat="1" applyFont="1" applyFill="1" applyBorder="1"/>
    <xf numFmtId="165" fontId="0" fillId="3" borderId="1" xfId="0" applyNumberFormat="1" applyFill="1" applyBorder="1"/>
    <xf numFmtId="164" fontId="0" fillId="3" borderId="1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169" fontId="9" fillId="0" borderId="0" xfId="1" applyNumberFormat="1" applyFont="1" applyFill="1"/>
    <xf numFmtId="165" fontId="9" fillId="0" borderId="22" xfId="2" applyNumberFormat="1" applyFont="1" applyFill="1" applyBorder="1"/>
    <xf numFmtId="164" fontId="9" fillId="0" borderId="22" xfId="1" applyNumberFormat="1" applyFont="1" applyFill="1" applyBorder="1"/>
    <xf numFmtId="0" fontId="21" fillId="0" borderId="0" xfId="0" applyFont="1" applyAlignment="1">
      <alignment horizontal="centerContinuous"/>
    </xf>
    <xf numFmtId="37" fontId="0" fillId="0" borderId="0" xfId="0" applyNumberFormat="1"/>
    <xf numFmtId="37" fontId="1" fillId="0" borderId="0" xfId="0" applyNumberFormat="1" applyFont="1"/>
    <xf numFmtId="165" fontId="3" fillId="0" borderId="18" xfId="2" applyNumberFormat="1" applyFont="1" applyBorder="1"/>
    <xf numFmtId="165" fontId="9" fillId="0" borderId="0" xfId="2" applyNumberFormat="1" applyFont="1" applyFill="1"/>
    <xf numFmtId="44" fontId="9" fillId="0" borderId="0" xfId="2" applyFont="1" applyFill="1"/>
    <xf numFmtId="168" fontId="3" fillId="0" borderId="18" xfId="2" applyNumberFormat="1" applyFont="1" applyFill="1" applyBorder="1"/>
    <xf numFmtId="0" fontId="3" fillId="0" borderId="1" xfId="0" applyFont="1" applyBorder="1" applyAlignment="1">
      <alignment horizontal="center" wrapText="1"/>
    </xf>
    <xf numFmtId="41" fontId="9" fillId="0" borderId="0" xfId="2" applyNumberFormat="1" applyFont="1" applyFill="1"/>
    <xf numFmtId="165" fontId="0" fillId="2" borderId="0" xfId="0" applyNumberFormat="1" applyFill="1" applyAlignment="1">
      <alignment horizontal="centerContinuous"/>
    </xf>
    <xf numFmtId="165" fontId="0" fillId="0" borderId="18" xfId="2" applyNumberFormat="1" applyFont="1" applyFill="1" applyBorder="1"/>
    <xf numFmtId="165" fontId="9" fillId="2" borderId="0" xfId="0" applyNumberFormat="1" applyFont="1" applyFill="1" applyAlignment="1">
      <alignment horizontal="centerContinuous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44" fontId="2" fillId="0" borderId="0" xfId="2" applyFont="1"/>
    <xf numFmtId="0" fontId="18" fillId="0" borderId="0" xfId="0" applyFont="1" applyAlignment="1">
      <alignment horizontal="center"/>
    </xf>
    <xf numFmtId="0" fontId="9" fillId="3" borderId="0" xfId="0" applyFont="1" applyFill="1" applyAlignment="1">
      <alignment horizontal="centerContinuous"/>
    </xf>
    <xf numFmtId="43" fontId="9" fillId="0" borderId="0" xfId="1" applyFont="1"/>
    <xf numFmtId="0" fontId="9" fillId="0" borderId="0" xfId="0" quotePrefix="1" applyFont="1" applyAlignment="1">
      <alignment horizontal="center"/>
    </xf>
    <xf numFmtId="44" fontId="9" fillId="0" borderId="18" xfId="2" applyFont="1" applyBorder="1" applyAlignment="1">
      <alignment vertical="center"/>
    </xf>
    <xf numFmtId="43" fontId="5" fillId="0" borderId="0" xfId="1" applyFont="1" applyBorder="1" applyAlignment="1">
      <alignment vertical="center"/>
    </xf>
    <xf numFmtId="173" fontId="0" fillId="0" borderId="0" xfId="0" applyNumberFormat="1"/>
    <xf numFmtId="44" fontId="0" fillId="0" borderId="0" xfId="2" applyFont="1" applyFill="1"/>
    <xf numFmtId="0" fontId="15" fillId="2" borderId="0" xfId="0" applyFont="1" applyFill="1" applyAlignment="1">
      <alignment horizontal="centerContinuous"/>
    </xf>
    <xf numFmtId="0" fontId="16" fillId="3" borderId="31" xfId="35" applyFont="1" applyFill="1" applyBorder="1" applyAlignment="1">
      <alignment vertical="center" wrapText="1"/>
    </xf>
    <xf numFmtId="0" fontId="16" fillId="0" borderId="31" xfId="35" applyFont="1" applyBorder="1" applyAlignment="1">
      <alignment vertical="center" wrapText="1"/>
    </xf>
    <xf numFmtId="0" fontId="16" fillId="0" borderId="0" xfId="13" applyFont="1" applyAlignment="1">
      <alignment horizontal="left"/>
    </xf>
    <xf numFmtId="170" fontId="16" fillId="0" borderId="0" xfId="25" applyNumberFormat="1" applyFont="1" applyAlignment="1">
      <alignment horizontal="right"/>
    </xf>
    <xf numFmtId="165" fontId="0" fillId="0" borderId="0" xfId="2" applyNumberFormat="1" applyFont="1" applyFill="1" applyBorder="1"/>
    <xf numFmtId="165" fontId="0" fillId="0" borderId="0" xfId="2" applyNumberFormat="1" applyFont="1" applyBorder="1"/>
    <xf numFmtId="165" fontId="9" fillId="0" borderId="0" xfId="2" applyNumberFormat="1" applyFont="1" applyBorder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Continuous" vertical="center"/>
    </xf>
    <xf numFmtId="0" fontId="15" fillId="0" borderId="0" xfId="0" applyFont="1"/>
    <xf numFmtId="165" fontId="2" fillId="0" borderId="0" xfId="0" applyNumberFormat="1" applyFont="1"/>
    <xf numFmtId="0" fontId="2" fillId="0" borderId="17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8" fillId="0" borderId="0" xfId="0" applyFont="1"/>
    <xf numFmtId="0" fontId="28" fillId="0" borderId="17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47" xfId="0" applyFont="1" applyBorder="1" applyAlignment="1">
      <alignment horizontal="center"/>
    </xf>
    <xf numFmtId="165" fontId="0" fillId="0" borderId="17" xfId="2" applyNumberFormat="1" applyFont="1" applyBorder="1"/>
    <xf numFmtId="165" fontId="0" fillId="0" borderId="47" xfId="2" applyNumberFormat="1" applyFont="1" applyBorder="1"/>
    <xf numFmtId="164" fontId="0" fillId="0" borderId="47" xfId="1" applyNumberFormat="1" applyFont="1" applyBorder="1"/>
    <xf numFmtId="164" fontId="0" fillId="0" borderId="44" xfId="1" applyNumberFormat="1" applyFont="1" applyBorder="1"/>
    <xf numFmtId="164" fontId="0" fillId="0" borderId="1" xfId="1" applyNumberFormat="1" applyFont="1" applyBorder="1"/>
    <xf numFmtId="164" fontId="0" fillId="0" borderId="43" xfId="1" applyNumberFormat="1" applyFont="1" applyBorder="1"/>
    <xf numFmtId="164" fontId="4" fillId="0" borderId="17" xfId="1" applyNumberFormat="1" applyFont="1" applyBorder="1"/>
    <xf numFmtId="164" fontId="4" fillId="0" borderId="0" xfId="1" applyNumberFormat="1" applyFont="1" applyBorder="1"/>
    <xf numFmtId="164" fontId="4" fillId="0" borderId="47" xfId="1" applyNumberFormat="1" applyFont="1" applyBorder="1"/>
    <xf numFmtId="165" fontId="0" fillId="0" borderId="44" xfId="2" applyNumberFormat="1" applyFont="1" applyBorder="1"/>
    <xf numFmtId="165" fontId="0" fillId="0" borderId="1" xfId="2" applyNumberFormat="1" applyFont="1" applyBorder="1"/>
    <xf numFmtId="165" fontId="0" fillId="0" borderId="43" xfId="2" applyNumberFormat="1" applyFont="1" applyBorder="1"/>
    <xf numFmtId="0" fontId="2" fillId="0" borderId="11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2" borderId="0" xfId="0" applyFill="1"/>
    <xf numFmtId="0" fontId="2" fillId="2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165" fontId="0" fillId="0" borderId="11" xfId="0" applyNumberFormat="1" applyBorder="1"/>
    <xf numFmtId="165" fontId="0" fillId="0" borderId="33" xfId="2" applyNumberFormat="1" applyFont="1" applyBorder="1"/>
    <xf numFmtId="164" fontId="0" fillId="0" borderId="11" xfId="1" applyNumberFormat="1" applyFont="1" applyBorder="1"/>
    <xf numFmtId="164" fontId="0" fillId="0" borderId="33" xfId="1" applyNumberFormat="1" applyFont="1" applyBorder="1"/>
    <xf numFmtId="164" fontId="0" fillId="0" borderId="48" xfId="1" applyNumberFormat="1" applyFont="1" applyBorder="1"/>
    <xf numFmtId="164" fontId="0" fillId="0" borderId="49" xfId="1" applyNumberFormat="1" applyFont="1" applyBorder="1"/>
    <xf numFmtId="165" fontId="0" fillId="0" borderId="11" xfId="2" applyNumberFormat="1" applyFont="1" applyBorder="1"/>
    <xf numFmtId="164" fontId="0" fillId="0" borderId="41" xfId="1" applyNumberFormat="1" applyFont="1" applyBorder="1"/>
    <xf numFmtId="165" fontId="0" fillId="0" borderId="18" xfId="0" applyNumberFormat="1" applyBorder="1"/>
    <xf numFmtId="164" fontId="4" fillId="0" borderId="11" xfId="1" applyNumberFormat="1" applyFont="1" applyBorder="1"/>
    <xf numFmtId="164" fontId="4" fillId="0" borderId="33" xfId="1" applyNumberFormat="1" applyFont="1" applyBorder="1"/>
    <xf numFmtId="165" fontId="0" fillId="0" borderId="8" xfId="0" applyNumberFormat="1" applyBorder="1"/>
    <xf numFmtId="165" fontId="0" fillId="0" borderId="6" xfId="0" applyNumberFormat="1" applyBorder="1"/>
    <xf numFmtId="165" fontId="0" fillId="0" borderId="34" xfId="0" applyNumberFormat="1" applyBorder="1"/>
    <xf numFmtId="0" fontId="7" fillId="0" borderId="42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0" fillId="0" borderId="50" xfId="0" applyBorder="1"/>
    <xf numFmtId="0" fontId="6" fillId="0" borderId="50" xfId="7" applyFont="1" applyBorder="1" applyAlignment="1">
      <alignment horizontal="center" vertical="center"/>
    </xf>
    <xf numFmtId="0" fontId="6" fillId="0" borderId="42" xfId="7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51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50" xfId="0" applyFont="1" applyBorder="1" applyAlignment="1">
      <alignment horizontal="center" vertical="center" wrapText="1"/>
    </xf>
    <xf numFmtId="0" fontId="0" fillId="0" borderId="38" xfId="0" applyBorder="1"/>
    <xf numFmtId="41" fontId="0" fillId="0" borderId="50" xfId="0" applyNumberFormat="1" applyBorder="1"/>
    <xf numFmtId="41" fontId="6" fillId="0" borderId="50" xfId="0" applyNumberFormat="1" applyFont="1" applyBorder="1"/>
    <xf numFmtId="41" fontId="0" fillId="5" borderId="0" xfId="0" applyNumberFormat="1" applyFill="1"/>
    <xf numFmtId="43" fontId="0" fillId="0" borderId="0" xfId="1" applyFont="1" applyFill="1" applyBorder="1"/>
    <xf numFmtId="43" fontId="0" fillId="0" borderId="0" xfId="1" applyFont="1"/>
    <xf numFmtId="41" fontId="0" fillId="0" borderId="41" xfId="0" applyNumberFormat="1" applyBorder="1"/>
    <xf numFmtId="0" fontId="2" fillId="0" borderId="13" xfId="0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6" fillId="0" borderId="0" xfId="7" applyFont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41" fontId="0" fillId="0" borderId="38" xfId="0" applyNumberFormat="1" applyBorder="1"/>
    <xf numFmtId="0" fontId="6" fillId="0" borderId="38" xfId="0" applyFont="1" applyBorder="1"/>
    <xf numFmtId="44" fontId="4" fillId="0" borderId="0" xfId="2" applyFont="1" applyFill="1"/>
    <xf numFmtId="0" fontId="9" fillId="2" borderId="0" xfId="0" applyFont="1" applyFill="1"/>
    <xf numFmtId="0" fontId="3" fillId="2" borderId="0" xfId="0" applyFont="1" applyFill="1" applyAlignment="1">
      <alignment horizontal="center"/>
    </xf>
    <xf numFmtId="175" fontId="9" fillId="0" borderId="0" xfId="3" applyNumberFormat="1" applyFont="1"/>
    <xf numFmtId="176" fontId="9" fillId="0" borderId="0" xfId="1" applyNumberFormat="1" applyFont="1"/>
    <xf numFmtId="176" fontId="9" fillId="0" borderId="0" xfId="0" applyNumberFormat="1" applyFont="1"/>
    <xf numFmtId="10" fontId="29" fillId="0" borderId="0" xfId="3" applyNumberFormat="1" applyFont="1"/>
    <xf numFmtId="174" fontId="9" fillId="0" borderId="0" xfId="3" applyNumberFormat="1" applyFont="1"/>
    <xf numFmtId="10" fontId="9" fillId="0" borderId="0" xfId="0" applyNumberFormat="1" applyFont="1"/>
    <xf numFmtId="10" fontId="9" fillId="0" borderId="2" xfId="3" applyNumberFormat="1" applyFont="1" applyBorder="1"/>
    <xf numFmtId="167" fontId="9" fillId="0" borderId="33" xfId="3" applyNumberFormat="1" applyFont="1" applyBorder="1"/>
    <xf numFmtId="0" fontId="6" fillId="3" borderId="38" xfId="0" applyFont="1" applyFill="1" applyBorder="1"/>
    <xf numFmtId="41" fontId="6" fillId="3" borderId="50" xfId="0" applyNumberFormat="1" applyFont="1" applyFill="1" applyBorder="1"/>
    <xf numFmtId="0" fontId="6" fillId="0" borderId="0" xfId="0" applyFont="1" applyAlignment="1">
      <alignment horizontal="centerContinuous"/>
    </xf>
    <xf numFmtId="0" fontId="16" fillId="0" borderId="0" xfId="0" applyFont="1" applyAlignment="1">
      <alignment horizontal="left"/>
    </xf>
    <xf numFmtId="170" fontId="16" fillId="0" borderId="0" xfId="0" applyNumberFormat="1" applyFont="1" applyAlignment="1">
      <alignment horizontal="right"/>
    </xf>
    <xf numFmtId="0" fontId="16" fillId="0" borderId="5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170" fontId="16" fillId="0" borderId="7" xfId="0" applyNumberFormat="1" applyFont="1" applyBorder="1" applyAlignment="1">
      <alignment horizontal="right"/>
    </xf>
    <xf numFmtId="170" fontId="16" fillId="0" borderId="32" xfId="0" applyNumberFormat="1" applyFont="1" applyBorder="1" applyAlignment="1">
      <alignment horizontal="right"/>
    </xf>
    <xf numFmtId="0" fontId="16" fillId="0" borderId="11" xfId="0" applyFont="1" applyBorder="1" applyAlignment="1">
      <alignment horizontal="left"/>
    </xf>
    <xf numFmtId="170" fontId="16" fillId="0" borderId="33" xfId="0" applyNumberFormat="1" applyFont="1" applyBorder="1" applyAlignment="1">
      <alignment horizontal="right"/>
    </xf>
    <xf numFmtId="0" fontId="16" fillId="0" borderId="8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170" fontId="16" fillId="0" borderId="6" xfId="0" applyNumberFormat="1" applyFont="1" applyBorder="1" applyAlignment="1">
      <alignment horizontal="right"/>
    </xf>
    <xf numFmtId="170" fontId="16" fillId="0" borderId="34" xfId="0" applyNumberFormat="1" applyFont="1" applyBorder="1" applyAlignment="1">
      <alignment horizontal="right"/>
    </xf>
    <xf numFmtId="170" fontId="0" fillId="0" borderId="2" xfId="0" applyNumberFormat="1" applyBorder="1"/>
    <xf numFmtId="14" fontId="2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28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168" fontId="3" fillId="0" borderId="0" xfId="0" applyNumberFormat="1" applyFont="1"/>
    <xf numFmtId="168" fontId="9" fillId="0" borderId="0" xfId="0" applyNumberFormat="1" applyFont="1"/>
    <xf numFmtId="168" fontId="0" fillId="0" borderId="0" xfId="2" applyNumberFormat="1" applyFont="1" applyFill="1"/>
    <xf numFmtId="168" fontId="2" fillId="0" borderId="40" xfId="0" applyNumberFormat="1" applyFont="1" applyBorder="1"/>
    <xf numFmtId="168" fontId="2" fillId="0" borderId="41" xfId="0" applyNumberFormat="1" applyFont="1" applyBorder="1"/>
    <xf numFmtId="168" fontId="2" fillId="0" borderId="42" xfId="0" applyNumberFormat="1" applyFont="1" applyBorder="1"/>
    <xf numFmtId="168" fontId="0" fillId="0" borderId="0" xfId="2" applyNumberFormat="1" applyFont="1" applyFill="1" applyBorder="1"/>
    <xf numFmtId="168" fontId="2" fillId="0" borderId="0" xfId="0" applyNumberFormat="1" applyFont="1"/>
    <xf numFmtId="0" fontId="11" fillId="0" borderId="0" xfId="0" applyFont="1"/>
    <xf numFmtId="15" fontId="15" fillId="0" borderId="0" xfId="0" applyNumberFormat="1" applyFont="1" applyAlignment="1">
      <alignment horizontal="center"/>
    </xf>
    <xf numFmtId="15" fontId="15" fillId="0" borderId="0" xfId="0" quotePrefix="1" applyNumberFormat="1" applyFont="1" applyAlignment="1">
      <alignment horizontal="center"/>
    </xf>
    <xf numFmtId="0" fontId="9" fillId="0" borderId="0" xfId="0" applyFont="1" applyAlignment="1">
      <alignment horizontal="left" indent="2"/>
    </xf>
    <xf numFmtId="164" fontId="30" fillId="0" borderId="0" xfId="1" applyNumberFormat="1" applyFont="1" applyFill="1"/>
    <xf numFmtId="165" fontId="3" fillId="0" borderId="0" xfId="0" applyNumberFormat="1" applyFont="1"/>
    <xf numFmtId="0" fontId="29" fillId="0" borderId="0" xfId="0" applyFont="1"/>
    <xf numFmtId="164" fontId="31" fillId="0" borderId="0" xfId="1" applyNumberFormat="1" applyFont="1" applyFill="1"/>
    <xf numFmtId="164" fontId="3" fillId="0" borderId="0" xfId="1" applyNumberFormat="1" applyFont="1" applyFill="1"/>
    <xf numFmtId="164" fontId="3" fillId="0" borderId="0" xfId="0" applyNumberFormat="1" applyFont="1"/>
    <xf numFmtId="164" fontId="32" fillId="0" borderId="0" xfId="0" applyNumberFormat="1" applyFont="1"/>
    <xf numFmtId="0" fontId="3" fillId="6" borderId="0" xfId="0" applyFont="1" applyFill="1" applyAlignment="1">
      <alignment horizontal="right"/>
    </xf>
    <xf numFmtId="173" fontId="3" fillId="6" borderId="0" xfId="2" applyNumberFormat="1" applyFont="1" applyFill="1"/>
    <xf numFmtId="0" fontId="2" fillId="6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44" fontId="2" fillId="6" borderId="0" xfId="2" applyFont="1" applyFill="1"/>
    <xf numFmtId="165" fontId="31" fillId="0" borderId="0" xfId="2" applyNumberFormat="1" applyFont="1" applyFill="1"/>
    <xf numFmtId="165" fontId="30" fillId="0" borderId="0" xfId="2" applyNumberFormat="1" applyFont="1" applyFill="1"/>
    <xf numFmtId="165" fontId="32" fillId="0" borderId="0" xfId="2" applyNumberFormat="1" applyFont="1" applyFill="1"/>
    <xf numFmtId="0" fontId="3" fillId="0" borderId="40" xfId="0" applyFont="1" applyBorder="1" applyAlignment="1">
      <alignment horizontal="centerContinuous"/>
    </xf>
    <xf numFmtId="0" fontId="2" fillId="0" borderId="41" xfId="0" applyFont="1" applyBorder="1" applyAlignment="1">
      <alignment horizontal="centerContinuous"/>
    </xf>
    <xf numFmtId="0" fontId="2" fillId="0" borderId="42" xfId="0" applyFont="1" applyBorder="1" applyAlignment="1">
      <alignment horizontal="centerContinuous"/>
    </xf>
    <xf numFmtId="0" fontId="2" fillId="0" borderId="44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0" fillId="0" borderId="17" xfId="0" applyBorder="1"/>
    <xf numFmtId="0" fontId="0" fillId="0" borderId="47" xfId="0" applyBorder="1"/>
    <xf numFmtId="165" fontId="0" fillId="0" borderId="17" xfId="2" applyNumberFormat="1" applyFont="1" applyFill="1" applyBorder="1"/>
    <xf numFmtId="164" fontId="0" fillId="0" borderId="17" xfId="1" applyNumberFormat="1" applyFont="1" applyFill="1" applyBorder="1"/>
    <xf numFmtId="164" fontId="0" fillId="0" borderId="0" xfId="1" applyNumberFormat="1" applyFont="1" applyFill="1" applyBorder="1"/>
    <xf numFmtId="164" fontId="1" fillId="0" borderId="0" xfId="1" applyNumberFormat="1" applyFont="1" applyBorder="1"/>
    <xf numFmtId="164" fontId="1" fillId="0" borderId="47" xfId="1" applyNumberFormat="1" applyFont="1" applyBorder="1"/>
    <xf numFmtId="164" fontId="1" fillId="0" borderId="17" xfId="1" applyNumberFormat="1" applyFont="1" applyFill="1" applyBorder="1"/>
    <xf numFmtId="164" fontId="1" fillId="0" borderId="0" xfId="1" applyNumberFormat="1" applyFont="1" applyFill="1" applyBorder="1"/>
    <xf numFmtId="165" fontId="0" fillId="0" borderId="45" xfId="2" applyNumberFormat="1" applyFont="1" applyFill="1" applyBorder="1"/>
    <xf numFmtId="44" fontId="0" fillId="0" borderId="0" xfId="2" applyFont="1" applyFill="1" applyBorder="1"/>
    <xf numFmtId="44" fontId="0" fillId="0" borderId="47" xfId="0" applyNumberFormat="1" applyBorder="1"/>
    <xf numFmtId="167" fontId="2" fillId="3" borderId="10" xfId="3" applyNumberFormat="1" applyFont="1" applyFill="1" applyBorder="1" applyAlignment="1">
      <alignment horizontal="center"/>
    </xf>
    <xf numFmtId="0" fontId="0" fillId="0" borderId="41" xfId="0" applyBorder="1" applyAlignment="1">
      <alignment horizontal="centerContinuous"/>
    </xf>
    <xf numFmtId="0" fontId="0" fillId="0" borderId="42" xfId="0" applyBorder="1" applyAlignment="1">
      <alignment horizontal="centerContinuous"/>
    </xf>
    <xf numFmtId="0" fontId="2" fillId="0" borderId="0" xfId="0" applyFont="1" applyAlignment="1">
      <alignment horizontal="center" vertical="center"/>
    </xf>
    <xf numFmtId="165" fontId="0" fillId="0" borderId="17" xfId="0" applyNumberFormat="1" applyBorder="1"/>
    <xf numFmtId="164" fontId="1" fillId="0" borderId="17" xfId="1" applyNumberFormat="1" applyFont="1" applyBorder="1"/>
    <xf numFmtId="165" fontId="0" fillId="0" borderId="45" xfId="2" applyNumberFormat="1" applyFont="1" applyBorder="1"/>
    <xf numFmtId="165" fontId="0" fillId="0" borderId="47" xfId="0" applyNumberFormat="1" applyBorder="1"/>
    <xf numFmtId="165" fontId="0" fillId="0" borderId="52" xfId="0" applyNumberFormat="1" applyBorder="1"/>
    <xf numFmtId="0" fontId="1" fillId="0" borderId="0" xfId="0" applyFont="1"/>
    <xf numFmtId="42" fontId="0" fillId="0" borderId="0" xfId="2" applyNumberFormat="1" applyFont="1" applyFill="1" applyBorder="1"/>
    <xf numFmtId="41" fontId="0" fillId="0" borderId="0" xfId="2" applyNumberFormat="1" applyFont="1" applyFill="1" applyBorder="1"/>
    <xf numFmtId="0" fontId="11" fillId="3" borderId="0" xfId="0" applyFont="1" applyFill="1" applyAlignment="1">
      <alignment horizontal="centerContinuous"/>
    </xf>
    <xf numFmtId="42" fontId="9" fillId="0" borderId="0" xfId="1" applyNumberFormat="1" applyFont="1" applyFill="1"/>
    <xf numFmtId="0" fontId="16" fillId="0" borderId="54" xfId="47" applyFont="1" applyBorder="1" applyAlignment="1">
      <alignment horizontal="center" vertical="center" wrapText="1"/>
    </xf>
    <xf numFmtId="177" fontId="16" fillId="0" borderId="54" xfId="2" applyNumberFormat="1" applyFont="1" applyFill="1" applyBorder="1" applyAlignment="1">
      <alignment horizontal="center" vertical="center" wrapText="1"/>
    </xf>
    <xf numFmtId="0" fontId="16" fillId="3" borderId="0" xfId="48" applyFont="1" applyFill="1" applyAlignment="1">
      <alignment horizontal="left"/>
    </xf>
    <xf numFmtId="170" fontId="16" fillId="3" borderId="0" xfId="48" applyNumberFormat="1" applyFont="1" applyFill="1" applyAlignment="1">
      <alignment horizontal="right"/>
    </xf>
    <xf numFmtId="16" fontId="34" fillId="3" borderId="56" xfId="0" applyNumberFormat="1" applyFont="1" applyFill="1" applyBorder="1"/>
    <xf numFmtId="0" fontId="34" fillId="3" borderId="56" xfId="0" applyFont="1" applyFill="1" applyBorder="1" applyAlignment="1">
      <alignment horizontal="center"/>
    </xf>
    <xf numFmtId="44" fontId="16" fillId="3" borderId="56" xfId="2" applyFont="1" applyFill="1" applyBorder="1" applyAlignment="1">
      <alignment horizontal="right"/>
    </xf>
    <xf numFmtId="0" fontId="34" fillId="3" borderId="57" xfId="0" applyFont="1" applyFill="1" applyBorder="1"/>
    <xf numFmtId="0" fontId="34" fillId="3" borderId="57" xfId="0" applyFont="1" applyFill="1" applyBorder="1" applyAlignment="1">
      <alignment horizontal="center"/>
    </xf>
    <xf numFmtId="44" fontId="16" fillId="3" borderId="58" xfId="2" applyFont="1" applyFill="1" applyBorder="1" applyAlignment="1">
      <alignment horizontal="right"/>
    </xf>
    <xf numFmtId="170" fontId="16" fillId="0" borderId="0" xfId="48" applyNumberFormat="1" applyFont="1" applyAlignment="1">
      <alignment horizontal="right"/>
    </xf>
    <xf numFmtId="170" fontId="16" fillId="4" borderId="0" xfId="48" applyNumberFormat="1" applyFont="1" applyFill="1" applyAlignment="1">
      <alignment horizontal="right"/>
    </xf>
    <xf numFmtId="0" fontId="16" fillId="0" borderId="0" xfId="48" applyFont="1" applyAlignment="1">
      <alignment horizontal="left"/>
    </xf>
    <xf numFmtId="0" fontId="34" fillId="0" borderId="60" xfId="0" applyFont="1" applyBorder="1" applyAlignment="1">
      <alignment horizontal="centerContinuous"/>
    </xf>
    <xf numFmtId="44" fontId="34" fillId="0" borderId="60" xfId="2" applyFont="1" applyBorder="1"/>
    <xf numFmtId="44" fontId="35" fillId="0" borderId="0" xfId="0" applyNumberFormat="1" applyFont="1"/>
    <xf numFmtId="168" fontId="3" fillId="0" borderId="0" xfId="2" applyNumberFormat="1" applyFont="1" applyFill="1" applyBorder="1"/>
    <xf numFmtId="0" fontId="36" fillId="0" borderId="0" xfId="0" applyFont="1"/>
    <xf numFmtId="4" fontId="0" fillId="0" borderId="0" xfId="0" applyNumberFormat="1"/>
    <xf numFmtId="3" fontId="9" fillId="0" borderId="0" xfId="0" applyNumberFormat="1" applyFont="1"/>
    <xf numFmtId="168" fontId="0" fillId="0" borderId="0" xfId="0" applyNumberFormat="1"/>
    <xf numFmtId="165" fontId="9" fillId="0" borderId="0" xfId="2" applyNumberFormat="1" applyFont="1" applyFill="1" applyBorder="1"/>
    <xf numFmtId="42" fontId="9" fillId="0" borderId="0" xfId="1" applyNumberFormat="1" applyFont="1" applyFill="1" applyBorder="1"/>
    <xf numFmtId="41" fontId="9" fillId="0" borderId="0" xfId="2" applyNumberFormat="1" applyFont="1" applyFill="1" applyBorder="1"/>
    <xf numFmtId="164" fontId="9" fillId="0" borderId="0" xfId="1" applyNumberFormat="1" applyFont="1" applyBorder="1"/>
    <xf numFmtId="164" fontId="9" fillId="0" borderId="0" xfId="1" applyNumberFormat="1" applyFont="1" applyFill="1" applyBorder="1"/>
    <xf numFmtId="165" fontId="3" fillId="0" borderId="0" xfId="2" applyNumberFormat="1" applyFont="1" applyBorder="1"/>
    <xf numFmtId="44" fontId="9" fillId="0" borderId="0" xfId="2" applyFont="1" applyBorder="1"/>
    <xf numFmtId="168" fontId="9" fillId="0" borderId="0" xfId="2" applyNumberFormat="1" applyFont="1" applyBorder="1"/>
    <xf numFmtId="169" fontId="9" fillId="0" borderId="0" xfId="1" applyNumberFormat="1" applyFont="1" applyBorder="1"/>
    <xf numFmtId="44" fontId="9" fillId="0" borderId="0" xfId="2" applyFont="1" applyFill="1" applyBorder="1"/>
    <xf numFmtId="169" fontId="9" fillId="0" borderId="0" xfId="1" applyNumberFormat="1" applyFont="1" applyFill="1" applyBorder="1"/>
    <xf numFmtId="169" fontId="9" fillId="0" borderId="0" xfId="1" quotePrefix="1" applyNumberFormat="1" applyFont="1" applyFill="1" applyBorder="1"/>
    <xf numFmtId="0" fontId="3" fillId="0" borderId="0" xfId="0" applyFont="1" applyAlignment="1">
      <alignment horizontal="center" wrapText="1"/>
    </xf>
    <xf numFmtId="164" fontId="9" fillId="0" borderId="0" xfId="1" quotePrefix="1" applyNumberFormat="1" applyFont="1" applyFill="1" applyBorder="1"/>
    <xf numFmtId="0" fontId="38" fillId="0" borderId="0" xfId="0" applyFont="1"/>
    <xf numFmtId="165" fontId="0" fillId="6" borderId="0" xfId="2" applyNumberFormat="1" applyFont="1" applyFill="1"/>
    <xf numFmtId="164" fontId="0" fillId="6" borderId="0" xfId="1" applyNumberFormat="1" applyFont="1" applyFill="1"/>
    <xf numFmtId="164" fontId="0" fillId="6" borderId="1" xfId="1" applyNumberFormat="1" applyFont="1" applyFill="1" applyBorder="1"/>
    <xf numFmtId="165" fontId="0" fillId="6" borderId="0" xfId="2" applyNumberFormat="1" applyFont="1" applyFill="1" applyAlignment="1">
      <alignment horizontal="center"/>
    </xf>
    <xf numFmtId="164" fontId="0" fillId="6" borderId="0" xfId="1" applyNumberFormat="1" applyFont="1" applyFill="1" applyAlignment="1">
      <alignment horizontal="center"/>
    </xf>
    <xf numFmtId="164" fontId="0" fillId="6" borderId="1" xfId="1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right"/>
    </xf>
    <xf numFmtId="178" fontId="2" fillId="3" borderId="10" xfId="3" applyNumberFormat="1" applyFont="1" applyFill="1" applyBorder="1" applyAlignment="1">
      <alignment horizontal="center"/>
    </xf>
    <xf numFmtId="165" fontId="0" fillId="0" borderId="0" xfId="3" applyNumberFormat="1" applyFont="1"/>
    <xf numFmtId="167" fontId="3" fillId="0" borderId="0" xfId="3" applyNumberFormat="1" applyFont="1" applyFill="1"/>
    <xf numFmtId="43" fontId="9" fillId="0" borderId="0" xfId="1" applyFont="1" applyFill="1"/>
    <xf numFmtId="170" fontId="16" fillId="9" borderId="0" xfId="48" applyNumberFormat="1" applyFont="1" applyFill="1" applyAlignment="1">
      <alignment horizontal="right"/>
    </xf>
    <xf numFmtId="0" fontId="16" fillId="9" borderId="0" xfId="48" applyFont="1" applyFill="1" applyAlignment="1">
      <alignment horizontal="left"/>
    </xf>
    <xf numFmtId="16" fontId="34" fillId="9" borderId="57" xfId="0" applyNumberFormat="1" applyFont="1" applyFill="1" applyBorder="1"/>
    <xf numFmtId="0" fontId="34" fillId="9" borderId="57" xfId="0" applyFont="1" applyFill="1" applyBorder="1" applyAlignment="1">
      <alignment horizontal="center"/>
    </xf>
    <xf numFmtId="44" fontId="16" fillId="9" borderId="58" xfId="2" applyFont="1" applyFill="1" applyBorder="1" applyAlignment="1">
      <alignment horizontal="right"/>
    </xf>
    <xf numFmtId="0" fontId="34" fillId="9" borderId="57" xfId="0" applyFont="1" applyFill="1" applyBorder="1"/>
    <xf numFmtId="0" fontId="34" fillId="9" borderId="59" xfId="0" applyFont="1" applyFill="1" applyBorder="1"/>
    <xf numFmtId="0" fontId="34" fillId="9" borderId="59" xfId="0" applyFont="1" applyFill="1" applyBorder="1" applyAlignment="1">
      <alignment horizontal="center"/>
    </xf>
    <xf numFmtId="0" fontId="34" fillId="9" borderId="61" xfId="0" applyFont="1" applyFill="1" applyBorder="1" applyAlignment="1">
      <alignment horizontal="center"/>
    </xf>
    <xf numFmtId="170" fontId="16" fillId="9" borderId="1" xfId="48" applyNumberFormat="1" applyFont="1" applyFill="1" applyBorder="1" applyAlignment="1">
      <alignment horizontal="right"/>
    </xf>
    <xf numFmtId="170" fontId="0" fillId="0" borderId="18" xfId="0" applyNumberFormat="1" applyBorder="1"/>
    <xf numFmtId="42" fontId="0" fillId="0" borderId="0" xfId="0" applyNumberFormat="1"/>
    <xf numFmtId="164" fontId="0" fillId="0" borderId="0" xfId="0" applyNumberFormat="1" applyAlignment="1">
      <alignment horizontal="center"/>
    </xf>
    <xf numFmtId="42" fontId="0" fillId="0" borderId="47" xfId="2" applyNumberFormat="1" applyFont="1" applyFill="1" applyBorder="1"/>
    <xf numFmtId="42" fontId="0" fillId="0" borderId="17" xfId="2" applyNumberFormat="1" applyFont="1" applyFill="1" applyBorder="1"/>
    <xf numFmtId="165" fontId="1" fillId="0" borderId="0" xfId="0" applyNumberFormat="1" applyFont="1"/>
    <xf numFmtId="165" fontId="1" fillId="0" borderId="0" xfId="2" applyNumberFormat="1" applyFont="1" applyFill="1"/>
    <xf numFmtId="41" fontId="0" fillId="0" borderId="17" xfId="2" applyNumberFormat="1" applyFont="1" applyFill="1" applyBorder="1"/>
    <xf numFmtId="41" fontId="0" fillId="0" borderId="47" xfId="2" applyNumberFormat="1" applyFont="1" applyFill="1" applyBorder="1"/>
    <xf numFmtId="41" fontId="0" fillId="0" borderId="44" xfId="2" applyNumberFormat="1" applyFont="1" applyFill="1" applyBorder="1"/>
    <xf numFmtId="41" fontId="0" fillId="0" borderId="1" xfId="2" applyNumberFormat="1" applyFont="1" applyFill="1" applyBorder="1"/>
    <xf numFmtId="164" fontId="0" fillId="0" borderId="47" xfId="0" applyNumberFormat="1" applyBorder="1"/>
    <xf numFmtId="42" fontId="0" fillId="0" borderId="18" xfId="2" applyNumberFormat="1" applyFont="1" applyFill="1" applyBorder="1"/>
    <xf numFmtId="0" fontId="1" fillId="0" borderId="0" xfId="0" applyFont="1" applyAlignment="1">
      <alignment horizontal="center"/>
    </xf>
    <xf numFmtId="164" fontId="1" fillId="0" borderId="47" xfId="1" applyNumberFormat="1" applyFont="1" applyFill="1" applyBorder="1"/>
    <xf numFmtId="165" fontId="0" fillId="0" borderId="47" xfId="2" applyNumberFormat="1" applyFont="1" applyFill="1" applyBorder="1"/>
    <xf numFmtId="164" fontId="0" fillId="0" borderId="47" xfId="1" applyNumberFormat="1" applyFont="1" applyFill="1" applyBorder="1"/>
    <xf numFmtId="10" fontId="9" fillId="0" borderId="0" xfId="3" applyNumberFormat="1" applyFont="1" applyFill="1"/>
    <xf numFmtId="10" fontId="9" fillId="0" borderId="0" xfId="3" applyNumberFormat="1" applyFont="1" applyFill="1" applyAlignment="1">
      <alignment horizontal="center"/>
    </xf>
    <xf numFmtId="166" fontId="9" fillId="0" borderId="0" xfId="3" applyNumberFormat="1" applyFont="1" applyFill="1" applyAlignment="1">
      <alignment horizontal="center"/>
    </xf>
    <xf numFmtId="165" fontId="9" fillId="0" borderId="18" xfId="2" applyNumberFormat="1" applyFont="1" applyFill="1" applyBorder="1"/>
    <xf numFmtId="165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Continuous" vertical="center"/>
    </xf>
    <xf numFmtId="0" fontId="3" fillId="0" borderId="37" xfId="0" applyFont="1" applyBorder="1" applyAlignment="1">
      <alignment horizontal="center"/>
    </xf>
    <xf numFmtId="14" fontId="3" fillId="0" borderId="38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165" fontId="9" fillId="0" borderId="37" xfId="2" applyNumberFormat="1" applyFont="1" applyFill="1" applyBorder="1"/>
    <xf numFmtId="0" fontId="9" fillId="0" borderId="0" xfId="0" applyFont="1" applyAlignment="1">
      <alignment wrapText="1"/>
    </xf>
    <xf numFmtId="165" fontId="9" fillId="0" borderId="36" xfId="2" applyNumberFormat="1" applyFont="1" applyFill="1" applyBorder="1"/>
    <xf numFmtId="44" fontId="3" fillId="0" borderId="0" xfId="2" applyFont="1" applyFill="1" applyAlignment="1">
      <alignment wrapText="1"/>
    </xf>
    <xf numFmtId="168" fontId="3" fillId="0" borderId="37" xfId="2" applyNumberFormat="1" applyFont="1" applyFill="1" applyBorder="1"/>
    <xf numFmtId="172" fontId="9" fillId="0" borderId="22" xfId="2" applyNumberFormat="1" applyFont="1" applyFill="1" applyBorder="1"/>
    <xf numFmtId="168" fontId="3" fillId="0" borderId="36" xfId="2" applyNumberFormat="1" applyFont="1" applyFill="1" applyBorder="1"/>
    <xf numFmtId="168" fontId="3" fillId="0" borderId="22" xfId="2" applyNumberFormat="1" applyFont="1" applyFill="1" applyBorder="1"/>
    <xf numFmtId="165" fontId="3" fillId="0" borderId="39" xfId="2" applyNumberFormat="1" applyFont="1" applyFill="1" applyBorder="1"/>
    <xf numFmtId="0" fontId="37" fillId="0" borderId="0" xfId="0" applyFont="1"/>
    <xf numFmtId="0" fontId="20" fillId="0" borderId="1" xfId="0" applyFont="1" applyBorder="1" applyAlignment="1">
      <alignment horizontal="center"/>
    </xf>
    <xf numFmtId="0" fontId="0" fillId="0" borderId="1" xfId="0" applyBorder="1"/>
    <xf numFmtId="44" fontId="3" fillId="0" borderId="0" xfId="2" applyFont="1" applyFill="1"/>
    <xf numFmtId="168" fontId="3" fillId="0" borderId="35" xfId="2" applyNumberFormat="1" applyFont="1" applyFill="1" applyBorder="1"/>
    <xf numFmtId="165" fontId="3" fillId="0" borderId="36" xfId="2" applyNumberFormat="1" applyFont="1" applyFill="1" applyBorder="1"/>
    <xf numFmtId="165" fontId="1" fillId="0" borderId="47" xfId="2" applyNumberFormat="1" applyFont="1" applyFill="1" applyBorder="1"/>
    <xf numFmtId="165" fontId="1" fillId="0" borderId="0" xfId="2" applyNumberFormat="1" applyFont="1" applyFill="1" applyBorder="1"/>
    <xf numFmtId="0" fontId="39" fillId="0" borderId="0" xfId="0" applyFont="1" applyAlignment="1">
      <alignment horizontal="centerContinuous"/>
    </xf>
    <xf numFmtId="0" fontId="39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165" fontId="0" fillId="0" borderId="17" xfId="0" applyNumberFormat="1" applyBorder="1" applyAlignment="1">
      <alignment vertical="center"/>
    </xf>
    <xf numFmtId="165" fontId="0" fillId="0" borderId="0" xfId="2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47" xfId="2" applyNumberFormat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5" fontId="0" fillId="0" borderId="0" xfId="2" applyNumberFormat="1" applyFont="1" applyBorder="1" applyAlignment="1">
      <alignment vertical="center"/>
    </xf>
    <xf numFmtId="165" fontId="0" fillId="0" borderId="47" xfId="2" applyNumberFormat="1" applyFont="1" applyBorder="1" applyAlignment="1">
      <alignment vertical="center"/>
    </xf>
    <xf numFmtId="165" fontId="0" fillId="0" borderId="0" xfId="2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9" fillId="0" borderId="0" xfId="2" applyNumberFormat="1" applyFont="1" applyFill="1" applyAlignment="1">
      <alignment vertical="center"/>
    </xf>
    <xf numFmtId="0" fontId="0" fillId="0" borderId="0" xfId="0" applyAlignment="1">
      <alignment horizontal="centerContinuous" vertical="center"/>
    </xf>
    <xf numFmtId="0" fontId="9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44" fontId="41" fillId="7" borderId="3" xfId="2" applyFont="1" applyFill="1" applyBorder="1" applyAlignment="1">
      <alignment vertical="center"/>
    </xf>
    <xf numFmtId="164" fontId="9" fillId="7" borderId="9" xfId="1" applyNumberFormat="1" applyFont="1" applyFill="1" applyBorder="1"/>
    <xf numFmtId="0" fontId="3" fillId="7" borderId="3" xfId="0" applyFont="1" applyFill="1" applyBorder="1" applyAlignment="1">
      <alignment horizontal="centerContinuous"/>
    </xf>
    <xf numFmtId="0" fontId="9" fillId="7" borderId="9" xfId="0" applyFont="1" applyFill="1" applyBorder="1" applyAlignment="1">
      <alignment horizontal="centerContinuous"/>
    </xf>
    <xf numFmtId="0" fontId="9" fillId="7" borderId="10" xfId="0" applyFont="1" applyFill="1" applyBorder="1" applyAlignment="1">
      <alignment horizontal="centerContinuous"/>
    </xf>
    <xf numFmtId="44" fontId="23" fillId="7" borderId="11" xfId="2" applyFont="1" applyFill="1" applyBorder="1" applyAlignment="1">
      <alignment vertical="center"/>
    </xf>
    <xf numFmtId="164" fontId="9" fillId="7" borderId="17" xfId="1" applyNumberFormat="1" applyFont="1" applyFill="1" applyBorder="1"/>
    <xf numFmtId="164" fontId="9" fillId="7" borderId="0" xfId="1" applyNumberFormat="1" applyFont="1" applyFill="1" applyBorder="1"/>
    <xf numFmtId="164" fontId="9" fillId="7" borderId="24" xfId="1" applyNumberFormat="1" applyFont="1" applyFill="1" applyBorder="1"/>
    <xf numFmtId="164" fontId="9" fillId="7" borderId="22" xfId="1" applyNumberFormat="1" applyFont="1" applyFill="1" applyBorder="1"/>
    <xf numFmtId="164" fontId="9" fillId="7" borderId="23" xfId="1" applyNumberFormat="1" applyFont="1" applyFill="1" applyBorder="1"/>
    <xf numFmtId="164" fontId="9" fillId="7" borderId="29" xfId="1" applyNumberFormat="1" applyFont="1" applyFill="1" applyBorder="1"/>
    <xf numFmtId="44" fontId="42" fillId="7" borderId="8" xfId="2" applyFont="1" applyFill="1" applyBorder="1" applyAlignment="1">
      <alignment vertical="center"/>
    </xf>
    <xf numFmtId="164" fontId="9" fillId="7" borderId="4" xfId="1" applyNumberFormat="1" applyFont="1" applyFill="1" applyBorder="1"/>
    <xf numFmtId="164" fontId="9" fillId="7" borderId="6" xfId="1" applyNumberFormat="1" applyFont="1" applyFill="1" applyBorder="1"/>
    <xf numFmtId="164" fontId="9" fillId="7" borderId="26" xfId="0" applyNumberFormat="1" applyFont="1" applyFill="1" applyBorder="1"/>
    <xf numFmtId="164" fontId="9" fillId="7" borderId="27" xfId="1" applyNumberFormat="1" applyFont="1" applyFill="1" applyBorder="1"/>
    <xf numFmtId="164" fontId="9" fillId="7" borderId="28" xfId="1" applyNumberFormat="1" applyFont="1" applyFill="1" applyBorder="1"/>
    <xf numFmtId="164" fontId="9" fillId="7" borderId="30" xfId="0" applyNumberFormat="1" applyFont="1" applyFill="1" applyBorder="1"/>
    <xf numFmtId="44" fontId="43" fillId="0" borderId="5" xfId="2" applyFont="1" applyFill="1" applyBorder="1" applyAlignment="1">
      <alignment vertical="center"/>
    </xf>
    <xf numFmtId="0" fontId="43" fillId="0" borderId="0" xfId="0" applyFont="1"/>
    <xf numFmtId="1" fontId="17" fillId="0" borderId="19" xfId="0" applyNumberFormat="1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Continuous" vertical="center"/>
    </xf>
    <xf numFmtId="0" fontId="17" fillId="0" borderId="62" xfId="0" applyFont="1" applyBorder="1" applyAlignment="1">
      <alignment horizontal="centerContinuous" vertical="center"/>
    </xf>
    <xf numFmtId="0" fontId="21" fillId="0" borderId="0" xfId="0" applyFont="1"/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44" fontId="20" fillId="0" borderId="5" xfId="2" applyFont="1" applyFill="1" applyBorder="1" applyAlignment="1">
      <alignment vertical="center"/>
    </xf>
    <xf numFmtId="0" fontId="43" fillId="0" borderId="3" xfId="0" applyFont="1" applyBorder="1"/>
    <xf numFmtId="0" fontId="43" fillId="0" borderId="9" xfId="0" applyFont="1" applyBorder="1"/>
    <xf numFmtId="0" fontId="43" fillId="0" borderId="62" xfId="0" applyFont="1" applyBorder="1"/>
    <xf numFmtId="164" fontId="43" fillId="0" borderId="13" xfId="1" applyNumberFormat="1" applyFont="1" applyBorder="1"/>
    <xf numFmtId="164" fontId="43" fillId="0" borderId="7" xfId="1" applyNumberFormat="1" applyFont="1" applyBorder="1"/>
    <xf numFmtId="164" fontId="43" fillId="0" borderId="24" xfId="1" applyNumberFormat="1" applyFont="1" applyBorder="1"/>
    <xf numFmtId="164" fontId="43" fillId="0" borderId="25" xfId="1" applyNumberFormat="1" applyFont="1" applyBorder="1"/>
    <xf numFmtId="164" fontId="43" fillId="0" borderId="63" xfId="1" applyNumberFormat="1" applyFont="1" applyBorder="1"/>
    <xf numFmtId="44" fontId="43" fillId="0" borderId="8" xfId="2" applyFont="1" applyFill="1" applyBorder="1" applyAlignment="1">
      <alignment vertical="center"/>
    </xf>
    <xf numFmtId="164" fontId="43" fillId="0" borderId="4" xfId="1" applyNumberFormat="1" applyFont="1" applyBorder="1"/>
    <xf numFmtId="164" fontId="43" fillId="0" borderId="6" xfId="1" applyNumberFormat="1" applyFont="1" applyBorder="1"/>
    <xf numFmtId="164" fontId="43" fillId="0" borderId="26" xfId="0" applyNumberFormat="1" applyFont="1" applyBorder="1"/>
    <xf numFmtId="164" fontId="43" fillId="0" borderId="27" xfId="1" applyNumberFormat="1" applyFont="1" applyBorder="1"/>
    <xf numFmtId="164" fontId="43" fillId="0" borderId="64" xfId="1" applyNumberFormat="1" applyFont="1" applyBorder="1"/>
    <xf numFmtId="0" fontId="43" fillId="0" borderId="0" xfId="0" applyFont="1" applyAlignment="1">
      <alignment vertical="center"/>
    </xf>
    <xf numFmtId="164" fontId="43" fillId="0" borderId="0" xfId="1" applyNumberFormat="1" applyFont="1"/>
    <xf numFmtId="44" fontId="20" fillId="0" borderId="3" xfId="2" applyFont="1" applyFill="1" applyBorder="1" applyAlignment="1">
      <alignment vertical="center"/>
    </xf>
    <xf numFmtId="164" fontId="43" fillId="0" borderId="9" xfId="1" applyNumberFormat="1" applyFont="1" applyBorder="1"/>
    <xf numFmtId="44" fontId="44" fillId="0" borderId="11" xfId="2" applyFont="1" applyFill="1" applyBorder="1" applyAlignment="1">
      <alignment vertical="center"/>
    </xf>
    <xf numFmtId="164" fontId="43" fillId="0" borderId="0" xfId="1" applyNumberFormat="1" applyFont="1" applyBorder="1" applyAlignment="1">
      <alignment vertical="center"/>
    </xf>
    <xf numFmtId="164" fontId="43" fillId="0" borderId="22" xfId="1" applyNumberFormat="1" applyFont="1" applyBorder="1" applyAlignment="1">
      <alignment vertical="center"/>
    </xf>
    <xf numFmtId="164" fontId="43" fillId="0" borderId="65" xfId="1" applyNumberFormat="1" applyFont="1" applyBorder="1" applyAlignment="1">
      <alignment vertical="center"/>
    </xf>
    <xf numFmtId="44" fontId="43" fillId="0" borderId="11" xfId="2" applyFont="1" applyFill="1" applyBorder="1" applyAlignment="1">
      <alignment vertical="center"/>
    </xf>
    <xf numFmtId="164" fontId="43" fillId="0" borderId="21" xfId="1" applyNumberFormat="1" applyFont="1" applyBorder="1"/>
    <xf numFmtId="164" fontId="43" fillId="0" borderId="6" xfId="1" applyNumberFormat="1" applyFont="1" applyBorder="1" applyAlignment="1">
      <alignment vertical="center"/>
    </xf>
    <xf numFmtId="164" fontId="43" fillId="0" borderId="26" xfId="1" applyNumberFormat="1" applyFont="1" applyBorder="1"/>
    <xf numFmtId="164" fontId="43" fillId="0" borderId="27" xfId="1" applyNumberFormat="1" applyFont="1" applyBorder="1" applyAlignment="1">
      <alignment vertical="center"/>
    </xf>
    <xf numFmtId="164" fontId="43" fillId="0" borderId="64" xfId="1" applyNumberFormat="1" applyFont="1" applyBorder="1" applyAlignment="1">
      <alignment vertical="center"/>
    </xf>
    <xf numFmtId="164" fontId="43" fillId="0" borderId="17" xfId="1" applyNumberFormat="1" applyFont="1" applyBorder="1"/>
    <xf numFmtId="164" fontId="43" fillId="0" borderId="0" xfId="1" applyNumberFormat="1" applyFont="1" applyBorder="1"/>
    <xf numFmtId="164" fontId="43" fillId="0" borderId="22" xfId="1" applyNumberFormat="1" applyFont="1" applyBorder="1"/>
    <xf numFmtId="164" fontId="43" fillId="0" borderId="65" xfId="1" applyNumberFormat="1" applyFont="1" applyBorder="1"/>
    <xf numFmtId="44" fontId="20" fillId="8" borderId="3" xfId="2" applyFont="1" applyFill="1" applyBorder="1" applyAlignment="1">
      <alignment vertical="center"/>
    </xf>
    <xf numFmtId="164" fontId="43" fillId="8" borderId="9" xfId="1" applyNumberFormat="1" applyFont="1" applyFill="1" applyBorder="1"/>
    <xf numFmtId="0" fontId="43" fillId="8" borderId="9" xfId="0" applyFont="1" applyFill="1" applyBorder="1"/>
    <xf numFmtId="0" fontId="43" fillId="8" borderId="62" xfId="0" applyFont="1" applyFill="1" applyBorder="1"/>
    <xf numFmtId="44" fontId="43" fillId="8" borderId="11" xfId="2" applyFont="1" applyFill="1" applyBorder="1" applyAlignment="1">
      <alignment vertical="center"/>
    </xf>
    <xf numFmtId="164" fontId="43" fillId="8" borderId="17" xfId="1" applyNumberFormat="1" applyFont="1" applyFill="1" applyBorder="1"/>
    <xf numFmtId="164" fontId="43" fillId="8" borderId="0" xfId="1" applyNumberFormat="1" applyFont="1" applyFill="1" applyBorder="1"/>
    <xf numFmtId="164" fontId="43" fillId="8" borderId="24" xfId="1" applyNumberFormat="1" applyFont="1" applyFill="1" applyBorder="1"/>
    <xf numFmtId="164" fontId="43" fillId="8" borderId="22" xfId="1" applyNumberFormat="1" applyFont="1" applyFill="1" applyBorder="1"/>
    <xf numFmtId="164" fontId="43" fillId="8" borderId="65" xfId="1" applyNumberFormat="1" applyFont="1" applyFill="1" applyBorder="1"/>
    <xf numFmtId="44" fontId="43" fillId="8" borderId="8" xfId="2" applyFont="1" applyFill="1" applyBorder="1" applyAlignment="1">
      <alignment vertical="center"/>
    </xf>
    <xf numFmtId="164" fontId="43" fillId="8" borderId="4" xfId="1" applyNumberFormat="1" applyFont="1" applyFill="1" applyBorder="1"/>
    <xf numFmtId="164" fontId="43" fillId="8" borderId="6" xfId="1" applyNumberFormat="1" applyFont="1" applyFill="1" applyBorder="1"/>
    <xf numFmtId="164" fontId="43" fillId="8" borderId="26" xfId="0" applyNumberFormat="1" applyFont="1" applyFill="1" applyBorder="1"/>
    <xf numFmtId="164" fontId="43" fillId="8" borderId="27" xfId="1" applyNumberFormat="1" applyFont="1" applyFill="1" applyBorder="1"/>
    <xf numFmtId="164" fontId="43" fillId="8" borderId="64" xfId="1" applyNumberFormat="1" applyFont="1" applyFill="1" applyBorder="1"/>
    <xf numFmtId="0" fontId="17" fillId="0" borderId="9" xfId="0" applyFont="1" applyBorder="1" applyAlignment="1">
      <alignment horizontal="center" vertical="center"/>
    </xf>
    <xf numFmtId="164" fontId="43" fillId="0" borderId="7" xfId="1" applyNumberFormat="1" applyFont="1" applyFill="1" applyBorder="1"/>
    <xf numFmtId="164" fontId="43" fillId="0" borderId="0" xfId="1" applyNumberFormat="1" applyFont="1" applyFill="1" applyBorder="1" applyAlignment="1">
      <alignment vertical="center"/>
    </xf>
    <xf numFmtId="164" fontId="43" fillId="0" borderId="0" xfId="1" applyNumberFormat="1" applyFont="1" applyFill="1" applyBorder="1"/>
    <xf numFmtId="0" fontId="43" fillId="0" borderId="14" xfId="0" applyFont="1" applyBorder="1"/>
    <xf numFmtId="0" fontId="43" fillId="0" borderId="15" xfId="0" applyFont="1" applyBorder="1"/>
    <xf numFmtId="0" fontId="43" fillId="8" borderId="14" xfId="0" applyFont="1" applyFill="1" applyBorder="1"/>
    <xf numFmtId="0" fontId="43" fillId="8" borderId="15" xfId="0" applyFont="1" applyFill="1" applyBorder="1"/>
    <xf numFmtId="177" fontId="0" fillId="0" borderId="0" xfId="0" applyNumberFormat="1"/>
    <xf numFmtId="7" fontId="0" fillId="0" borderId="0" xfId="0" applyNumberFormat="1"/>
    <xf numFmtId="165" fontId="0" fillId="0" borderId="0" xfId="3" applyNumberFormat="1" applyFont="1" applyBorder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6" fillId="0" borderId="53" xfId="45" applyFont="1" applyBorder="1" applyAlignment="1">
      <alignment horizontal="center" vertical="center" wrapText="1"/>
    </xf>
    <xf numFmtId="0" fontId="16" fillId="0" borderId="55" xfId="45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0" fillId="5" borderId="50" xfId="0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7" fillId="0" borderId="50" xfId="7" applyBorder="1" applyAlignment="1">
      <alignment horizontal="center" vertical="center"/>
    </xf>
    <xf numFmtId="0" fontId="6" fillId="0" borderId="0" xfId="7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6" fillId="0" borderId="31" xfId="0" applyFont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wrapText="1"/>
    </xf>
    <xf numFmtId="170" fontId="45" fillId="0" borderId="0" xfId="48" applyNumberFormat="1" applyFont="1" applyAlignment="1">
      <alignment horizontal="right"/>
    </xf>
  </cellXfs>
  <cellStyles count="49">
    <cellStyle name="Comma" xfId="1" builtinId="3"/>
    <cellStyle name="Comma 11" xfId="10" xr:uid="{55C1B519-F7D2-487A-8576-49A26E6DACB5}"/>
    <cellStyle name="Comma 2" xfId="12" xr:uid="{289B90B4-0A53-4F69-B9EB-2F2B709DC222}"/>
    <cellStyle name="Comma 2 2" xfId="23" xr:uid="{686801F5-C27B-4D72-B3D8-04CC058376A9}"/>
    <cellStyle name="Comma 2 2 2" xfId="30" xr:uid="{559A9FDD-A4CE-4C12-A2E5-DB89774F21A3}"/>
    <cellStyle name="Comma 2 3" xfId="27" xr:uid="{81248C21-B9B1-412F-A6E3-DEE6E88B547F}"/>
    <cellStyle name="Comma 2 4" xfId="18" xr:uid="{CCB1332B-02A9-441E-8935-94C71CD0717D}"/>
    <cellStyle name="Comma 3" xfId="9" xr:uid="{45E42246-4BB5-464A-BA8D-330067E5C00F}"/>
    <cellStyle name="Comma 3 2" xfId="19" xr:uid="{1EB03362-0FC7-44C8-AA8B-E7092470DD5E}"/>
    <cellStyle name="Comma 3 3" xfId="39" xr:uid="{5C088388-8ED4-4EA9-9A63-78CFDDE08ABA}"/>
    <cellStyle name="Comma 4" xfId="15" xr:uid="{0B529419-245B-4886-86BF-00F42D43FD44}"/>
    <cellStyle name="Comma 4 2" xfId="43" xr:uid="{CAF605A6-3B2C-483A-85B6-8657588F99BA}"/>
    <cellStyle name="Comma 5" xfId="37" xr:uid="{777FEF58-2C32-4D28-95A1-60729403933D}"/>
    <cellStyle name="Currency" xfId="2" builtinId="4"/>
    <cellStyle name="Currency 2" xfId="8" xr:uid="{72335F4C-A9E3-4151-8789-1A54DE5BEF6B}"/>
    <cellStyle name="Currency 3" xfId="32" xr:uid="{DE27ED4D-83C3-4D23-B9CB-5CD666279F9B}"/>
    <cellStyle name="Hyperlink 2" xfId="6" xr:uid="{5668F52D-D4F2-4E38-8BB0-9DBDD28DDA2D}"/>
    <cellStyle name="Normal" xfId="0" builtinId="0"/>
    <cellStyle name="Normal 10" xfId="4" xr:uid="{21D557C5-92BE-461F-8512-5BD7FF62FDDB}"/>
    <cellStyle name="Normal 11" xfId="42" xr:uid="{B8FCD72C-A6F9-4111-88E4-1DEA70CF9D90}"/>
    <cellStyle name="Normal 12" xfId="44" xr:uid="{9748AEB5-0943-4D89-90EB-ADBB8E638CCB}"/>
    <cellStyle name="Normal 12 2" xfId="46" xr:uid="{D39D62B4-7679-40E3-8A25-EB596636D6D8}"/>
    <cellStyle name="Normal 13" xfId="45" xr:uid="{37CB1F51-088D-47DF-9B3F-3A57A45A2474}"/>
    <cellStyle name="Normal 14" xfId="36" xr:uid="{1B4EA033-7D8F-4F66-898F-E1C13371994C}"/>
    <cellStyle name="Normal 15" xfId="47" xr:uid="{FFC64A9F-18E8-4703-ADFC-C15C8AEFD097}"/>
    <cellStyle name="Normal 16" xfId="48" xr:uid="{3E8C1A7A-8602-4D7D-B502-30E0C0777E4E}"/>
    <cellStyle name="Normal 2" xfId="11" xr:uid="{2EF054E4-A3CE-4AB2-BF54-25AEDE9CEC18}"/>
    <cellStyle name="Normal 2 2 2" xfId="7" xr:uid="{31943DC1-9127-427F-AF5E-83393031F409}"/>
    <cellStyle name="Normal 3" xfId="17" xr:uid="{6A960FBF-AEB4-4FF6-8702-99627390ED09}"/>
    <cellStyle name="Normal 3 2" xfId="22" xr:uid="{61AE09B4-3AC7-42D4-89F8-F33EC8D9A2F9}"/>
    <cellStyle name="Normal 3 2 2" xfId="29" xr:uid="{E1EAB4C0-5BEA-49B6-A761-F6925B753FC5}"/>
    <cellStyle name="Normal 3 3" xfId="26" xr:uid="{8683B24F-F269-4253-A518-392BCCDD104A}"/>
    <cellStyle name="Normal 4" xfId="13" xr:uid="{20ADE617-3C23-4734-8145-11F6674A3026}"/>
    <cellStyle name="Normal 4 2 2" xfId="5" xr:uid="{DA245A1B-1A95-409D-96AF-792A821994C7}"/>
    <cellStyle name="Normal 5" xfId="21" xr:uid="{4F6E29E9-EC36-49AC-8E8C-A59EDAA117EF}"/>
    <cellStyle name="Normal 5 2" xfId="24" xr:uid="{F0431AC0-9BD1-4431-8923-4617E2483BC9}"/>
    <cellStyle name="Normal 5 2 2" xfId="31" xr:uid="{4DE4FBDD-AF06-4F8F-BC99-5C2510D57739}"/>
    <cellStyle name="Normal 5 3" xfId="28" xr:uid="{F592D44E-81C0-4BF5-9A46-708180A49F45}"/>
    <cellStyle name="Normal 6" xfId="25" xr:uid="{3BC5F378-CE39-4F56-AD1A-E36F7C8FB765}"/>
    <cellStyle name="Normal 6 2" xfId="41" xr:uid="{3CE880C3-7A87-4A22-8048-FD3AB32FB3EC}"/>
    <cellStyle name="Normal 7" xfId="14" xr:uid="{6CC1A7A2-A787-49A0-93BA-9811B1192045}"/>
    <cellStyle name="Normal 7 2" xfId="33" xr:uid="{012D474F-FAA6-4BD0-9E9F-455903038B0F}"/>
    <cellStyle name="Normal 8" xfId="34" xr:uid="{0861BAF7-A069-46F2-994E-FDF630CEE671}"/>
    <cellStyle name="Normal 9" xfId="35" xr:uid="{3B3DB662-2E77-46B3-9449-A925E771D145}"/>
    <cellStyle name="Percent" xfId="3" builtinId="5"/>
    <cellStyle name="Percent 2" xfId="20" xr:uid="{11A22E9B-1F36-436B-9290-76CD28DAD4B2}"/>
    <cellStyle name="Percent 2 2" xfId="40" xr:uid="{3FD0EE6F-9662-431B-8878-CDF18FC9E0FF}"/>
    <cellStyle name="Percent 3" xfId="16" xr:uid="{F7320F3D-2E9A-46BD-9BF6-AED003E86E91}"/>
    <cellStyle name="Percent 4" xfId="38" xr:uid="{6970A88A-B0CB-407E-83E4-02B4305E8FB0}"/>
  </cellStyles>
  <dxfs count="0"/>
  <tableStyles count="0" defaultTableStyle="TableStyleMedium2" defaultPivotStyle="PivotStyleLight16"/>
  <colors>
    <mruColors>
      <color rgb="FF00FF00"/>
      <color rgb="FFCC66FF"/>
      <color rgb="FFFF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303390</xdr:colOff>
      <xdr:row>2</xdr:row>
      <xdr:rowOff>24696</xdr:rowOff>
    </xdr:from>
    <xdr:to>
      <xdr:col>25</xdr:col>
      <xdr:colOff>574425</xdr:colOff>
      <xdr:row>50</xdr:row>
      <xdr:rowOff>129434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2EE05D-1F23-4086-2446-C4E8E6D3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20890" y="511529"/>
          <a:ext cx="6652785" cy="9774767"/>
        </a:xfrm>
        <a:prstGeom prst="rect">
          <a:avLst/>
        </a:prstGeom>
      </xdr:spPr>
    </xdr:pic>
    <xdr:clientData/>
  </xdr:twoCellAnchor>
  <xdr:twoCellAnchor editAs="oneCell">
    <xdr:from>
      <xdr:col>7</xdr:col>
      <xdr:colOff>40214</xdr:colOff>
      <xdr:row>2</xdr:row>
      <xdr:rowOff>46566</xdr:rowOff>
    </xdr:from>
    <xdr:to>
      <xdr:col>16</xdr:col>
      <xdr:colOff>187771</xdr:colOff>
      <xdr:row>50</xdr:row>
      <xdr:rowOff>92477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D39C06-487C-C837-47E9-E85B02EBB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5764" y="522816"/>
          <a:ext cx="6488032" cy="9691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53</xdr:row>
      <xdr:rowOff>180975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1643EFD-890A-7577-3462-151A2CCBDB69}"/>
            </a:ext>
          </a:extLst>
        </xdr:cNvPr>
        <xdr:cNvSpPr txBox="1"/>
      </xdr:nvSpPr>
      <xdr:spPr>
        <a:xfrm>
          <a:off x="15601950" y="426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17</xdr:col>
      <xdr:colOff>421877</xdr:colOff>
      <xdr:row>0</xdr:row>
      <xdr:rowOff>0</xdr:rowOff>
    </xdr:from>
    <xdr:to>
      <xdr:col>29</xdr:col>
      <xdr:colOff>85328</xdr:colOff>
      <xdr:row>82</xdr:row>
      <xdr:rowOff>182775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1DC6E-4473-7FCB-DF45-FE12B260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97424" y="0"/>
          <a:ext cx="7273529" cy="11037306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91</xdr:row>
      <xdr:rowOff>180975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D78FA72-D871-46C5-8147-3FAB8D5D133D}"/>
            </a:ext>
          </a:extLst>
        </xdr:cNvPr>
        <xdr:cNvSpPr txBox="1"/>
      </xdr:nvSpPr>
      <xdr:spPr>
        <a:xfrm>
          <a:off x="18659475" y="1223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9525</xdr:rowOff>
    </xdr:from>
    <xdr:to>
      <xdr:col>15</xdr:col>
      <xdr:colOff>7510</xdr:colOff>
      <xdr:row>44</xdr:row>
      <xdr:rowOff>40217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66715-60B2-413B-A1EA-8776C5E80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9525"/>
          <a:ext cx="6652785" cy="97747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7</xdr:row>
      <xdr:rowOff>42333</xdr:rowOff>
    </xdr:from>
    <xdr:to>
      <xdr:col>0</xdr:col>
      <xdr:colOff>11161184</xdr:colOff>
      <xdr:row>44</xdr:row>
      <xdr:rowOff>162983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6E9108-0DE1-488A-A96B-89F1889C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4" y="1619250"/>
          <a:ext cx="11087100" cy="69045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28575</xdr:colOff>
      <xdr:row>0</xdr:row>
      <xdr:rowOff>57150</xdr:rowOff>
    </xdr:from>
    <xdr:to>
      <xdr:col>25</xdr:col>
      <xdr:colOff>248430</xdr:colOff>
      <xdr:row>30</xdr:row>
      <xdr:rowOff>153251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5D9E84-568D-0A16-0A4F-DE20F53A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8375" y="57150"/>
          <a:ext cx="5591955" cy="6096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0</xdr:row>
      <xdr:rowOff>0</xdr:rowOff>
    </xdr:from>
    <xdr:to>
      <xdr:col>20</xdr:col>
      <xdr:colOff>543897</xdr:colOff>
      <xdr:row>41</xdr:row>
      <xdr:rowOff>20128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965580-CAC1-4656-86C4-8886F437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4050" y="0"/>
          <a:ext cx="6963747" cy="8173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7D50D-EB31-4B85-A452-D3E9ED38A27F}">
  <sheetPr>
    <tabColor rgb="FFFFFF00"/>
    <pageSetUpPr fitToPage="1"/>
  </sheetPr>
  <dimension ref="A1:Z80"/>
  <sheetViews>
    <sheetView zoomScaleNormal="100" zoomScaleSheetLayoutView="100" workbookViewId="0">
      <selection activeCell="A6" sqref="A6"/>
    </sheetView>
  </sheetViews>
  <sheetFormatPr defaultRowHeight="15" x14ac:dyDescent="0.25"/>
  <cols>
    <col min="1" max="1" width="19.85546875" bestFit="1" customWidth="1"/>
    <col min="2" max="2" width="14.28515625" bestFit="1" customWidth="1"/>
    <col min="3" max="3" width="12.42578125" bestFit="1" customWidth="1"/>
    <col min="4" max="4" width="5.42578125" customWidth="1"/>
    <col min="5" max="5" width="15.42578125" bestFit="1" customWidth="1"/>
    <col min="6" max="6" width="15.140625" customWidth="1"/>
    <col min="7" max="7" width="12" customWidth="1"/>
    <col min="8" max="26" width="10.5703125" customWidth="1"/>
  </cols>
  <sheetData>
    <row r="1" spans="1:26" ht="18.75" x14ac:dyDescent="0.3">
      <c r="F1" s="146" t="s">
        <v>122</v>
      </c>
    </row>
    <row r="2" spans="1:26" ht="18.75" x14ac:dyDescent="0.3">
      <c r="H2" s="328" t="s">
        <v>336</v>
      </c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26" ht="17.25" x14ac:dyDescent="0.3">
      <c r="A3" s="57" t="s">
        <v>0</v>
      </c>
      <c r="B3" s="32"/>
      <c r="C3" s="32"/>
      <c r="D3" s="32"/>
      <c r="E3" s="32"/>
      <c r="F3" s="32"/>
    </row>
    <row r="4" spans="1:26" ht="15.75" x14ac:dyDescent="0.25">
      <c r="A4" s="33" t="s">
        <v>317</v>
      </c>
      <c r="B4" s="32"/>
      <c r="C4" s="32"/>
      <c r="D4" s="32"/>
      <c r="E4" s="32"/>
      <c r="F4" s="32"/>
    </row>
    <row r="5" spans="1:26" ht="15.75" x14ac:dyDescent="0.25">
      <c r="A5" s="33" t="s">
        <v>318</v>
      </c>
      <c r="B5" s="32"/>
      <c r="C5" s="32"/>
      <c r="D5" s="32"/>
      <c r="E5" s="32"/>
      <c r="F5" s="32"/>
    </row>
    <row r="6" spans="1:26" ht="15.75" x14ac:dyDescent="0.25">
      <c r="A6" s="33" t="s">
        <v>766</v>
      </c>
      <c r="B6" s="32"/>
      <c r="C6" s="32"/>
      <c r="D6" s="32"/>
      <c r="E6" s="32"/>
      <c r="F6" s="32"/>
    </row>
    <row r="7" spans="1:26" ht="15.75" x14ac:dyDescent="0.25">
      <c r="A7" s="33"/>
      <c r="B7" s="32"/>
      <c r="C7" s="32"/>
      <c r="D7" s="32"/>
      <c r="E7" s="32"/>
      <c r="F7" s="32"/>
    </row>
    <row r="8" spans="1:26" x14ac:dyDescent="0.25">
      <c r="E8" s="20"/>
      <c r="F8" s="20"/>
    </row>
    <row r="9" spans="1:26" ht="15.75" x14ac:dyDescent="0.25">
      <c r="A9" s="44"/>
      <c r="B9" s="540" t="s">
        <v>1</v>
      </c>
      <c r="C9" s="540"/>
      <c r="D9" s="44"/>
      <c r="E9" s="540" t="s">
        <v>2</v>
      </c>
      <c r="F9" s="540"/>
    </row>
    <row r="10" spans="1:26" ht="15.75" x14ac:dyDescent="0.25">
      <c r="A10" s="25" t="s">
        <v>319</v>
      </c>
      <c r="B10" s="25" t="s">
        <v>3</v>
      </c>
      <c r="C10" s="25" t="s">
        <v>4</v>
      </c>
      <c r="D10" s="44"/>
      <c r="E10" s="25" t="s">
        <v>3</v>
      </c>
      <c r="F10" s="25" t="s">
        <v>4</v>
      </c>
    </row>
    <row r="11" spans="1:26" ht="15.75" x14ac:dyDescent="0.25">
      <c r="A11" s="66" t="s">
        <v>5</v>
      </c>
      <c r="B11" s="58">
        <v>6.9999999999999999E-6</v>
      </c>
      <c r="C11" s="58">
        <f>ROUND(B11*1.06625,6)</f>
        <v>6.9999999999999999E-6</v>
      </c>
      <c r="D11" s="44"/>
      <c r="E11" s="58">
        <v>-1.06E-4</v>
      </c>
      <c r="F11" s="58">
        <f t="shared" ref="F11:F16" si="0">ROUND(E11*1.06625,6)</f>
        <v>-1.13E-4</v>
      </c>
      <c r="H11" s="16"/>
      <c r="I11" s="16"/>
      <c r="J11" s="17"/>
    </row>
    <row r="12" spans="1:26" ht="15.75" x14ac:dyDescent="0.25">
      <c r="A12" s="66" t="s">
        <v>6</v>
      </c>
      <c r="B12" s="59">
        <v>1.9650000000000002E-3</v>
      </c>
      <c r="C12" s="60">
        <f>ROUND(B12*1.06625,6)</f>
        <v>2.0950000000000001E-3</v>
      </c>
      <c r="D12" s="44"/>
      <c r="E12" s="59">
        <v>4.2529999999999998E-3</v>
      </c>
      <c r="F12" s="60">
        <f t="shared" si="0"/>
        <v>4.535E-3</v>
      </c>
      <c r="H12" s="16"/>
      <c r="I12" s="16"/>
      <c r="J12" s="17"/>
    </row>
    <row r="13" spans="1:26" ht="15.75" x14ac:dyDescent="0.25">
      <c r="A13" s="139" t="s">
        <v>9</v>
      </c>
      <c r="B13" s="131">
        <v>2.5399999999999999E-4</v>
      </c>
      <c r="C13" s="60">
        <f>ROUND(B13*1.06625,6)</f>
        <v>2.7099999999999997E-4</v>
      </c>
      <c r="D13" s="44"/>
      <c r="E13" s="131">
        <v>3.7699999999999999E-3</v>
      </c>
      <c r="F13" s="60">
        <f t="shared" si="0"/>
        <v>4.0200000000000001E-3</v>
      </c>
      <c r="H13" s="16"/>
      <c r="I13" s="16"/>
      <c r="J13" s="17"/>
    </row>
    <row r="14" spans="1:26" ht="15.75" x14ac:dyDescent="0.25">
      <c r="A14" s="139" t="s">
        <v>8</v>
      </c>
      <c r="B14" s="131">
        <v>1E-10</v>
      </c>
      <c r="C14" s="60">
        <f>+B14</f>
        <v>1E-10</v>
      </c>
      <c r="D14" s="44"/>
      <c r="E14" s="131">
        <v>1.078E-3</v>
      </c>
      <c r="F14" s="60">
        <f t="shared" si="0"/>
        <v>1.1490000000000001E-3</v>
      </c>
      <c r="H14" s="16"/>
      <c r="I14" s="16"/>
      <c r="J14" s="17"/>
    </row>
    <row r="15" spans="1:26" ht="15.75" x14ac:dyDescent="0.25">
      <c r="A15" s="139" t="s">
        <v>7</v>
      </c>
      <c r="B15" s="131">
        <v>9.2900000000000003E-4</v>
      </c>
      <c r="C15" s="60">
        <f>ROUND(B15*1.06625,6)</f>
        <v>9.9099999999999991E-4</v>
      </c>
      <c r="D15" s="44"/>
      <c r="E15" s="131">
        <v>4.0969999999999999E-3</v>
      </c>
      <c r="F15" s="60">
        <f t="shared" si="0"/>
        <v>4.3680000000000004E-3</v>
      </c>
      <c r="H15" s="16"/>
      <c r="I15" s="16"/>
      <c r="J15" s="17"/>
    </row>
    <row r="16" spans="1:26" ht="15.75" x14ac:dyDescent="0.25">
      <c r="A16" s="139" t="s">
        <v>728</v>
      </c>
      <c r="B16" s="131">
        <f>+'Rate Calculation (EE&amp;C2_p5)'!C25</f>
        <v>1.2800000000000001E-3</v>
      </c>
      <c r="C16" s="60">
        <f>ROUND(B16*1.06625,6)</f>
        <v>1.3649999999999999E-3</v>
      </c>
      <c r="D16" s="44"/>
      <c r="E16" s="131">
        <f>+'Rate Calculation (EE&amp;C2_p5)'!C24</f>
        <v>3.6589999999999999E-3</v>
      </c>
      <c r="F16" s="60">
        <f t="shared" si="0"/>
        <v>3.901E-3</v>
      </c>
      <c r="H16" s="16"/>
      <c r="I16" s="16"/>
      <c r="J16" s="17"/>
    </row>
    <row r="17" spans="1:12" ht="16.5" thickBot="1" x14ac:dyDescent="0.3">
      <c r="A17" s="4" t="s">
        <v>10</v>
      </c>
      <c r="B17" s="140">
        <f>SUM(B11:B16)</f>
        <v>4.4350001000000002E-3</v>
      </c>
      <c r="C17" s="140">
        <f>SUM(C11:C16)</f>
        <v>4.7290001000000002E-3</v>
      </c>
      <c r="D17" s="4"/>
      <c r="E17" s="140">
        <f>SUM(E11:E16)</f>
        <v>1.6750999999999999E-2</v>
      </c>
      <c r="F17" s="140">
        <f>SUM(F11:F16)</f>
        <v>1.7860000000000001E-2</v>
      </c>
      <c r="H17" s="16"/>
      <c r="I17" s="16"/>
      <c r="J17" s="17"/>
    </row>
    <row r="18" spans="1:12" ht="16.5" thickTop="1" x14ac:dyDescent="0.25">
      <c r="A18" s="4"/>
      <c r="B18" s="346"/>
      <c r="C18" s="346"/>
      <c r="D18" s="4"/>
      <c r="E18" s="346"/>
      <c r="F18" s="346"/>
      <c r="H18" s="16"/>
      <c r="I18" s="16"/>
      <c r="J18" s="17"/>
    </row>
    <row r="19" spans="1:12" ht="15.75" x14ac:dyDescent="0.25">
      <c r="A19" s="4"/>
      <c r="B19" s="346"/>
      <c r="C19" s="346"/>
      <c r="D19" s="4"/>
      <c r="E19" s="346"/>
      <c r="F19" s="346"/>
      <c r="H19" s="16"/>
    </row>
    <row r="20" spans="1:12" ht="15.75" x14ac:dyDescent="0.25">
      <c r="A20" s="44"/>
      <c r="B20" s="131"/>
      <c r="C20" s="131"/>
      <c r="D20" s="44"/>
      <c r="E20" s="131"/>
      <c r="F20" s="131"/>
      <c r="H20" s="16"/>
      <c r="I20" s="7"/>
      <c r="J20" s="7"/>
      <c r="K20" s="7"/>
      <c r="L20" s="7"/>
    </row>
    <row r="21" spans="1:12" ht="31.5" x14ac:dyDescent="0.25">
      <c r="A21" s="25" t="s">
        <v>11</v>
      </c>
      <c r="B21" s="25" t="s">
        <v>12</v>
      </c>
      <c r="C21" s="44"/>
      <c r="D21" s="44"/>
      <c r="E21" s="25" t="s">
        <v>13</v>
      </c>
      <c r="F21" s="141" t="s">
        <v>14</v>
      </c>
      <c r="H21" s="16"/>
    </row>
    <row r="22" spans="1:12" ht="15.75" x14ac:dyDescent="0.25">
      <c r="A22" s="139" t="s">
        <v>5</v>
      </c>
      <c r="B22" s="138">
        <v>137159</v>
      </c>
      <c r="C22" s="44"/>
      <c r="D22" s="44"/>
      <c r="E22" s="138">
        <v>-2076975</v>
      </c>
      <c r="F22" s="329">
        <f t="shared" ref="F22:F27" si="1">E22-B22</f>
        <v>-2214134</v>
      </c>
      <c r="G22" s="135"/>
      <c r="H22" s="16"/>
      <c r="I22" s="7"/>
      <c r="J22" s="7"/>
      <c r="K22" s="7"/>
      <c r="L22" s="7"/>
    </row>
    <row r="23" spans="1:12" ht="15.75" x14ac:dyDescent="0.25">
      <c r="A23" s="139" t="s">
        <v>6</v>
      </c>
      <c r="B23" s="29">
        <v>38502407</v>
      </c>
      <c r="C23" s="44"/>
      <c r="D23" s="44"/>
      <c r="E23" s="142">
        <v>83333707</v>
      </c>
      <c r="F23" s="61">
        <f t="shared" si="1"/>
        <v>44831300</v>
      </c>
      <c r="G23" s="135"/>
      <c r="H23" s="16"/>
      <c r="I23" s="16"/>
      <c r="J23" s="17"/>
    </row>
    <row r="24" spans="1:12" ht="15.75" x14ac:dyDescent="0.25">
      <c r="A24" s="66" t="s">
        <v>9</v>
      </c>
      <c r="B24" s="28">
        <v>4976901</v>
      </c>
      <c r="C24" s="44"/>
      <c r="D24" s="44"/>
      <c r="E24" s="28">
        <v>73869757</v>
      </c>
      <c r="F24" s="61">
        <f t="shared" si="1"/>
        <v>68892856</v>
      </c>
      <c r="G24" s="136"/>
      <c r="H24" s="16"/>
      <c r="I24" s="7"/>
      <c r="J24" s="7"/>
      <c r="K24" s="7"/>
      <c r="L24" s="7"/>
    </row>
    <row r="25" spans="1:12" ht="15.75" x14ac:dyDescent="0.25">
      <c r="A25" s="139" t="s">
        <v>8</v>
      </c>
      <c r="B25" s="29">
        <v>0</v>
      </c>
      <c r="C25" s="44"/>
      <c r="D25" s="44"/>
      <c r="E25" s="29">
        <v>21122440</v>
      </c>
      <c r="F25" s="61">
        <f t="shared" si="1"/>
        <v>21122440</v>
      </c>
      <c r="G25" s="135"/>
      <c r="H25" s="16"/>
    </row>
    <row r="26" spans="1:12" ht="15.75" x14ac:dyDescent="0.25">
      <c r="A26" s="139" t="s">
        <v>7</v>
      </c>
      <c r="B26" s="29">
        <v>18202919</v>
      </c>
      <c r="C26" s="44"/>
      <c r="D26" s="44"/>
      <c r="E26" s="29">
        <v>80277028</v>
      </c>
      <c r="F26" s="61">
        <f t="shared" si="1"/>
        <v>62074109</v>
      </c>
    </row>
    <row r="27" spans="1:12" ht="15.75" x14ac:dyDescent="0.25">
      <c r="A27" s="139" t="s">
        <v>728</v>
      </c>
      <c r="B27" s="29">
        <f>ROUND('Rate Calculation (EE&amp;C2_p5)'!$C23*'Rate Calculation (EE&amp;C2_p5)'!$C25*1000,0)</f>
        <v>25080448</v>
      </c>
      <c r="C27" s="44"/>
      <c r="D27" s="44"/>
      <c r="E27" s="142">
        <f>ROUND('Rate Calculation (EE&amp;C2_p5)'!$C23*'Rate Calculation (EE&amp;C2_p5)'!$C24*1000,0)</f>
        <v>71694812</v>
      </c>
      <c r="F27" s="61">
        <f t="shared" si="1"/>
        <v>46614364</v>
      </c>
      <c r="G27" s="135"/>
    </row>
    <row r="28" spans="1:12" ht="16.5" thickBot="1" x14ac:dyDescent="0.3">
      <c r="A28" s="4" t="s">
        <v>10</v>
      </c>
      <c r="B28" s="137">
        <f>SUM(B22:B27)</f>
        <v>86899834</v>
      </c>
      <c r="C28" s="4"/>
      <c r="D28" s="4"/>
      <c r="E28" s="137">
        <f>SUM(E22:E27)</f>
        <v>328220769</v>
      </c>
      <c r="F28" s="137">
        <f>SUM(F22:F27)</f>
        <v>241320935</v>
      </c>
    </row>
    <row r="29" spans="1:12" ht="15.75" thickTop="1" x14ac:dyDescent="0.25">
      <c r="B29" s="6"/>
      <c r="E29" s="6"/>
      <c r="F29" s="6"/>
    </row>
    <row r="30" spans="1:12" x14ac:dyDescent="0.25">
      <c r="A30" s="3"/>
    </row>
    <row r="39" spans="5:6" x14ac:dyDescent="0.25">
      <c r="E39" s="350"/>
      <c r="F39" s="350"/>
    </row>
    <row r="40" spans="5:6" x14ac:dyDescent="0.25">
      <c r="E40" s="350"/>
      <c r="F40" s="350"/>
    </row>
    <row r="41" spans="5:6" x14ac:dyDescent="0.25">
      <c r="E41" s="350"/>
      <c r="F41" s="350"/>
    </row>
    <row r="42" spans="5:6" x14ac:dyDescent="0.25">
      <c r="E42" s="350"/>
      <c r="F42" s="350"/>
    </row>
    <row r="43" spans="5:6" x14ac:dyDescent="0.25">
      <c r="E43" s="350"/>
      <c r="F43" s="350"/>
    </row>
    <row r="47" spans="5:6" x14ac:dyDescent="0.25">
      <c r="E47" s="8"/>
    </row>
    <row r="50" spans="1:6" ht="15.75" x14ac:dyDescent="0.25">
      <c r="E50" s="351"/>
      <c r="F50" s="352"/>
    </row>
    <row r="51" spans="1:6" ht="15.75" x14ac:dyDescent="0.25">
      <c r="E51" s="353"/>
      <c r="F51" s="61"/>
    </row>
    <row r="52" spans="1:6" ht="15.75" x14ac:dyDescent="0.25">
      <c r="E52" s="354"/>
      <c r="F52" s="61"/>
    </row>
    <row r="53" spans="1:6" ht="15.75" x14ac:dyDescent="0.25">
      <c r="E53" s="356"/>
      <c r="F53" s="356"/>
    </row>
    <row r="55" spans="1:6" x14ac:dyDescent="0.25">
      <c r="E55" s="8"/>
      <c r="F55" s="8"/>
    </row>
    <row r="56" spans="1:6" x14ac:dyDescent="0.25">
      <c r="E56" s="8"/>
      <c r="F56" s="8"/>
    </row>
    <row r="57" spans="1:6" x14ac:dyDescent="0.25">
      <c r="E57" s="8"/>
      <c r="F57" s="8"/>
    </row>
    <row r="58" spans="1:6" x14ac:dyDescent="0.25">
      <c r="E58" s="8"/>
      <c r="F58" s="8"/>
    </row>
    <row r="59" spans="1:6" x14ac:dyDescent="0.25">
      <c r="E59" s="116"/>
      <c r="F59" s="116"/>
    </row>
    <row r="61" spans="1:6" ht="15.75" x14ac:dyDescent="0.25">
      <c r="A61" s="44"/>
      <c r="B61" s="541"/>
      <c r="C61" s="541"/>
      <c r="D61" s="44"/>
      <c r="E61" s="541"/>
      <c r="F61" s="541"/>
    </row>
    <row r="62" spans="1:6" ht="15.75" x14ac:dyDescent="0.25">
      <c r="A62" s="24"/>
      <c r="B62" s="24"/>
      <c r="C62" s="24"/>
      <c r="D62" s="44"/>
      <c r="E62" s="24"/>
      <c r="F62" s="24"/>
    </row>
    <row r="63" spans="1:6" ht="15.75" x14ac:dyDescent="0.25">
      <c r="A63" s="357"/>
      <c r="B63" s="358"/>
      <c r="C63" s="358"/>
      <c r="D63" s="44"/>
      <c r="E63" s="358"/>
      <c r="F63" s="358"/>
    </row>
    <row r="64" spans="1:6" ht="15.75" x14ac:dyDescent="0.25">
      <c r="A64" s="357"/>
      <c r="B64" s="359"/>
      <c r="C64" s="60"/>
      <c r="D64" s="44"/>
      <c r="E64" s="60"/>
      <c r="F64" s="60"/>
    </row>
    <row r="65" spans="1:6" ht="15.75" x14ac:dyDescent="0.25">
      <c r="A65" s="360"/>
      <c r="B65" s="361"/>
      <c r="C65" s="60"/>
      <c r="D65" s="44"/>
      <c r="E65" s="60"/>
      <c r="F65" s="60"/>
    </row>
    <row r="66" spans="1:6" ht="15.75" x14ac:dyDescent="0.25">
      <c r="A66" s="360"/>
      <c r="B66" s="361"/>
      <c r="C66" s="60"/>
      <c r="D66" s="44"/>
      <c r="E66" s="60"/>
      <c r="F66" s="60"/>
    </row>
    <row r="67" spans="1:6" ht="15.75" x14ac:dyDescent="0.25">
      <c r="A67" s="360"/>
      <c r="B67" s="362"/>
      <c r="C67" s="60"/>
      <c r="D67" s="44"/>
      <c r="E67" s="60"/>
      <c r="F67" s="60"/>
    </row>
    <row r="68" spans="1:6" ht="15.75" x14ac:dyDescent="0.25">
      <c r="A68" s="360"/>
      <c r="B68" s="361"/>
      <c r="C68" s="60"/>
      <c r="D68" s="44"/>
      <c r="E68" s="60"/>
      <c r="F68" s="60"/>
    </row>
    <row r="69" spans="1:6" ht="15.75" x14ac:dyDescent="0.25">
      <c r="A69" s="4"/>
      <c r="B69" s="346"/>
      <c r="C69" s="346"/>
      <c r="D69" s="4"/>
      <c r="E69" s="346"/>
      <c r="F69" s="346"/>
    </row>
    <row r="70" spans="1:6" ht="15.75" x14ac:dyDescent="0.25">
      <c r="A70" s="4"/>
      <c r="B70" s="346"/>
      <c r="C70" s="346"/>
      <c r="D70" s="4"/>
      <c r="E70" s="346"/>
      <c r="F70" s="346"/>
    </row>
    <row r="71" spans="1:6" ht="15.75" x14ac:dyDescent="0.25">
      <c r="A71" s="4"/>
      <c r="B71" s="346"/>
      <c r="C71" s="346"/>
      <c r="D71" s="4"/>
      <c r="E71" s="346"/>
      <c r="F71" s="346"/>
    </row>
    <row r="72" spans="1:6" ht="15.75" x14ac:dyDescent="0.25">
      <c r="A72" s="44"/>
      <c r="B72" s="361"/>
      <c r="C72" s="361"/>
      <c r="D72" s="44"/>
      <c r="E72" s="541"/>
      <c r="F72" s="541"/>
    </row>
    <row r="73" spans="1:6" ht="15.75" x14ac:dyDescent="0.25">
      <c r="A73" s="24"/>
      <c r="B73" s="24"/>
      <c r="C73" s="44"/>
      <c r="D73" s="44"/>
      <c r="E73" s="24"/>
      <c r="F73" s="363"/>
    </row>
    <row r="74" spans="1:6" ht="15.75" x14ac:dyDescent="0.25">
      <c r="A74" s="360"/>
      <c r="B74" s="351"/>
      <c r="C74" s="44"/>
      <c r="D74" s="47"/>
      <c r="E74" s="351"/>
      <c r="F74" s="351"/>
    </row>
    <row r="75" spans="1:6" ht="15.75" x14ac:dyDescent="0.25">
      <c r="A75" s="360"/>
      <c r="B75" s="355"/>
      <c r="C75" s="44"/>
      <c r="D75" s="47"/>
      <c r="E75" s="353"/>
      <c r="F75" s="61"/>
    </row>
    <row r="76" spans="1:6" ht="15.75" x14ac:dyDescent="0.25">
      <c r="A76" s="357"/>
      <c r="B76" s="354"/>
      <c r="C76" s="44"/>
      <c r="D76" s="47"/>
      <c r="E76" s="354"/>
      <c r="F76" s="61"/>
    </row>
    <row r="77" spans="1:6" ht="15.75" x14ac:dyDescent="0.25">
      <c r="A77" s="360"/>
      <c r="B77" s="355"/>
      <c r="C77" s="44"/>
      <c r="D77" s="47"/>
      <c r="E77" s="355"/>
      <c r="F77" s="61"/>
    </row>
    <row r="78" spans="1:6" ht="15.75" x14ac:dyDescent="0.25">
      <c r="A78" s="360"/>
      <c r="B78" s="364"/>
      <c r="C78" s="44"/>
      <c r="D78" s="47"/>
      <c r="E78" s="364"/>
      <c r="F78" s="61"/>
    </row>
    <row r="79" spans="1:6" ht="15.75" x14ac:dyDescent="0.25">
      <c r="A79" s="360"/>
      <c r="B79" s="355"/>
      <c r="C79" s="44"/>
      <c r="D79" s="47"/>
      <c r="E79" s="355"/>
      <c r="F79" s="61"/>
    </row>
    <row r="80" spans="1:6" ht="15.75" x14ac:dyDescent="0.25">
      <c r="A80" s="4"/>
      <c r="B80" s="356"/>
      <c r="C80" s="4"/>
      <c r="D80" s="47"/>
      <c r="E80" s="356"/>
      <c r="F80" s="356"/>
    </row>
  </sheetData>
  <mergeCells count="5">
    <mergeCell ref="B9:C9"/>
    <mergeCell ref="E9:F9"/>
    <mergeCell ref="B61:C61"/>
    <mergeCell ref="E61:F61"/>
    <mergeCell ref="E72:F72"/>
  </mergeCells>
  <printOptions horizontalCentered="1"/>
  <pageMargins left="0.5" right="0.5" top="0.75" bottom="0.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DAE0E-7790-4465-91F1-D8B9364F91D5}">
  <sheetPr>
    <tabColor rgb="FF00FF00"/>
  </sheetPr>
  <dimension ref="A1:G23"/>
  <sheetViews>
    <sheetView workbookViewId="0">
      <selection activeCell="M40" sqref="M40"/>
    </sheetView>
  </sheetViews>
  <sheetFormatPr defaultRowHeight="15" x14ac:dyDescent="0.25"/>
  <cols>
    <col min="1" max="1" width="33.5703125" customWidth="1"/>
    <col min="2" max="5" width="12.7109375" customWidth="1"/>
    <col min="6" max="6" width="16" bestFit="1" customWidth="1"/>
    <col min="7" max="7" width="14.140625" bestFit="1" customWidth="1"/>
  </cols>
  <sheetData>
    <row r="1" spans="1:7" ht="18.75" x14ac:dyDescent="0.3">
      <c r="G1" s="146" t="s">
        <v>638</v>
      </c>
    </row>
    <row r="3" spans="1:7" ht="18.75" x14ac:dyDescent="0.3">
      <c r="A3" s="79" t="s">
        <v>95</v>
      </c>
      <c r="G3" s="23" t="s">
        <v>639</v>
      </c>
    </row>
    <row r="4" spans="1:7" ht="18.75" x14ac:dyDescent="0.3">
      <c r="A4" s="79" t="s">
        <v>276</v>
      </c>
    </row>
    <row r="5" spans="1:7" ht="18.75" x14ac:dyDescent="0.3">
      <c r="A5" s="79" t="s">
        <v>640</v>
      </c>
    </row>
    <row r="6" spans="1:7" s="44" customFormat="1" ht="15.75" x14ac:dyDescent="0.25">
      <c r="B6" s="24"/>
      <c r="C6" s="24"/>
      <c r="D6" s="24"/>
      <c r="E6" s="24"/>
      <c r="F6" s="24" t="s">
        <v>641</v>
      </c>
      <c r="G6" s="24"/>
    </row>
    <row r="7" spans="1:7" s="44" customFormat="1" ht="15.75" x14ac:dyDescent="0.25">
      <c r="B7" s="24"/>
      <c r="C7" s="24"/>
      <c r="D7" s="24" t="s">
        <v>642</v>
      </c>
      <c r="E7" s="24" t="s">
        <v>33</v>
      </c>
      <c r="F7" s="24" t="s">
        <v>643</v>
      </c>
      <c r="G7" s="24" t="s">
        <v>644</v>
      </c>
    </row>
    <row r="8" spans="1:7" s="44" customFormat="1" ht="15.75" x14ac:dyDescent="0.25">
      <c r="B8" s="24" t="s">
        <v>645</v>
      </c>
      <c r="C8" s="24" t="s">
        <v>646</v>
      </c>
      <c r="D8" s="24" t="s">
        <v>646</v>
      </c>
      <c r="E8" s="24" t="s">
        <v>647</v>
      </c>
      <c r="F8" s="24" t="s">
        <v>646</v>
      </c>
      <c r="G8" s="24" t="s">
        <v>63</v>
      </c>
    </row>
    <row r="9" spans="1:7" s="44" customFormat="1" ht="15.75" x14ac:dyDescent="0.25">
      <c r="A9" s="242"/>
      <c r="B9" s="243"/>
      <c r="C9" s="243"/>
      <c r="D9" s="243"/>
      <c r="E9" s="243"/>
      <c r="F9" s="243"/>
      <c r="G9" s="243"/>
    </row>
    <row r="10" spans="1:7" s="44" customFormat="1" ht="15.75" x14ac:dyDescent="0.25">
      <c r="A10" s="44" t="s">
        <v>648</v>
      </c>
      <c r="B10" s="62">
        <v>0.48099999999999998</v>
      </c>
      <c r="C10" s="244">
        <v>4.5719999999999997E-2</v>
      </c>
      <c r="D10" s="62">
        <f>+B10*C10</f>
        <v>2.1991319999999998E-2</v>
      </c>
      <c r="E10" s="245">
        <v>1</v>
      </c>
      <c r="F10" s="62">
        <f>ROUND(+D10*E10,4)</f>
        <v>2.1999999999999999E-2</v>
      </c>
    </row>
    <row r="11" spans="1:7" s="44" customFormat="1" ht="15.75" x14ac:dyDescent="0.25">
      <c r="B11" s="62"/>
      <c r="C11" s="244"/>
      <c r="D11" s="62"/>
      <c r="E11" s="246"/>
      <c r="F11" s="62"/>
    </row>
    <row r="12" spans="1:7" s="44" customFormat="1" ht="15.75" x14ac:dyDescent="0.25">
      <c r="A12" s="44" t="s">
        <v>649</v>
      </c>
      <c r="B12" s="247">
        <f>1-B10</f>
        <v>0.51900000000000002</v>
      </c>
      <c r="C12" s="244">
        <v>9.6000000000000002E-2</v>
      </c>
      <c r="D12" s="247">
        <f>+B12*C12</f>
        <v>4.9824E-2</v>
      </c>
      <c r="E12" s="246">
        <f>1/(1-((0.09*(1-0.21)+0.21)))</f>
        <v>1.3910140492418974</v>
      </c>
      <c r="F12" s="247">
        <f>ROUND(+D12*E12,4)</f>
        <v>6.93E-2</v>
      </c>
      <c r="G12" s="247">
        <f>F12*(1-$C$18)</f>
        <v>4.9819769999999999E-2</v>
      </c>
    </row>
    <row r="13" spans="1:7" s="44" customFormat="1" ht="15.75" x14ac:dyDescent="0.25">
      <c r="B13" s="248"/>
      <c r="C13" s="244"/>
      <c r="D13" s="62"/>
    </row>
    <row r="14" spans="1:7" s="44" customFormat="1" ht="15.75" x14ac:dyDescent="0.25">
      <c r="A14" s="44" t="s">
        <v>15</v>
      </c>
      <c r="B14" s="248">
        <f>SUM(B10:B12)</f>
        <v>1</v>
      </c>
      <c r="C14" s="244"/>
      <c r="D14" s="249">
        <f>SUM(D10:D12)</f>
        <v>7.1815320000000002E-2</v>
      </c>
      <c r="F14" s="249">
        <f>SUM(F10:F12)</f>
        <v>9.1299999999999992E-2</v>
      </c>
      <c r="G14" s="62">
        <f>F14*(1-$C$18)</f>
        <v>6.563556999999999E-2</v>
      </c>
    </row>
    <row r="15" spans="1:7" s="44" customFormat="1" ht="15.75" x14ac:dyDescent="0.25">
      <c r="C15" s="244"/>
    </row>
    <row r="16" spans="1:7" s="44" customFormat="1" ht="15.75" x14ac:dyDescent="0.25">
      <c r="A16" s="44" t="s">
        <v>650</v>
      </c>
      <c r="D16" s="244">
        <f>D14/12</f>
        <v>5.9846100000000005E-3</v>
      </c>
      <c r="E16" s="244"/>
      <c r="F16" s="376">
        <f>(F14/12)</f>
        <v>7.6083333333333324E-3</v>
      </c>
    </row>
    <row r="17" spans="1:3" s="44" customFormat="1" ht="16.5" thickBot="1" x14ac:dyDescent="0.3"/>
    <row r="18" spans="1:3" s="44" customFormat="1" ht="16.5" thickBot="1" x14ac:dyDescent="0.3">
      <c r="A18" s="44" t="s">
        <v>651</v>
      </c>
      <c r="C18" s="250">
        <f>(0.09)*(1-0.21)+0.21</f>
        <v>0.28110000000000002</v>
      </c>
    </row>
    <row r="19" spans="1:3" s="44" customFormat="1" ht="15.75" x14ac:dyDescent="0.25"/>
    <row r="20" spans="1:3" s="44" customFormat="1" ht="15.75" x14ac:dyDescent="0.25"/>
    <row r="23" spans="1:3" x14ac:dyDescent="0.25">
      <c r="A23" s="2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A6C2-BCE0-4C5C-B076-2635242A6F96}">
  <sheetPr>
    <tabColor rgb="FF00FF00"/>
  </sheetPr>
  <dimension ref="A1:M173"/>
  <sheetViews>
    <sheetView topLeftCell="A11" workbookViewId="0">
      <selection activeCell="I40" sqref="I40"/>
    </sheetView>
  </sheetViews>
  <sheetFormatPr defaultRowHeight="15" x14ac:dyDescent="0.25"/>
  <cols>
    <col min="1" max="1" width="16.28515625" customWidth="1"/>
    <col min="2" max="3" width="13.7109375" bestFit="1" customWidth="1"/>
    <col min="4" max="5" width="16" customWidth="1"/>
    <col min="6" max="6" width="14" bestFit="1" customWidth="1"/>
    <col min="7" max="7" width="3.7109375" customWidth="1"/>
    <col min="8" max="8" width="14.42578125" bestFit="1" customWidth="1"/>
    <col min="9" max="13" width="13.7109375" bestFit="1" customWidth="1"/>
    <col min="14" max="14" width="2" bestFit="1" customWidth="1"/>
    <col min="15" max="15" width="20.42578125" bestFit="1" customWidth="1"/>
    <col min="16" max="16" width="5" bestFit="1" customWidth="1"/>
  </cols>
  <sheetData>
    <row r="1" spans="1:11" ht="18.75" x14ac:dyDescent="0.3">
      <c r="F1" s="146" t="s">
        <v>358</v>
      </c>
      <c r="G1" s="146"/>
    </row>
    <row r="3" spans="1:11" ht="15.75" x14ac:dyDescent="0.25">
      <c r="F3" s="23" t="s">
        <v>359</v>
      </c>
      <c r="G3" s="23"/>
    </row>
    <row r="4" spans="1:11" ht="15.75" x14ac:dyDescent="0.25">
      <c r="A4" s="33" t="s">
        <v>95</v>
      </c>
      <c r="B4" s="32"/>
      <c r="C4" s="32"/>
      <c r="D4" s="32"/>
      <c r="E4" s="32"/>
      <c r="F4" s="32"/>
    </row>
    <row r="5" spans="1:11" ht="15.75" x14ac:dyDescent="0.25">
      <c r="A5" s="33" t="s">
        <v>360</v>
      </c>
      <c r="B5" s="32"/>
      <c r="C5" s="32"/>
      <c r="D5" s="32"/>
      <c r="E5" s="32"/>
      <c r="F5" s="32"/>
    </row>
    <row r="6" spans="1:11" ht="15.75" x14ac:dyDescent="0.25">
      <c r="A6" s="33" t="s">
        <v>361</v>
      </c>
      <c r="B6" s="32"/>
      <c r="C6" s="32"/>
      <c r="D6" s="32"/>
      <c r="E6" s="32"/>
      <c r="F6" s="32"/>
    </row>
    <row r="7" spans="1:11" ht="25.9" customHeight="1" x14ac:dyDescent="0.25">
      <c r="A7" s="169" t="s">
        <v>362</v>
      </c>
    </row>
    <row r="8" spans="1:11" ht="15.75" thickBot="1" x14ac:dyDescent="0.3">
      <c r="B8" s="544" t="s">
        <v>337</v>
      </c>
      <c r="C8" s="545"/>
      <c r="D8" s="545"/>
      <c r="E8" s="545"/>
      <c r="F8" s="546"/>
      <c r="G8" s="2"/>
      <c r="H8" s="3"/>
      <c r="I8" s="170"/>
      <c r="J8" s="3"/>
      <c r="K8" s="3"/>
    </row>
    <row r="9" spans="1:11" x14ac:dyDescent="0.25">
      <c r="B9" s="230" t="s">
        <v>28</v>
      </c>
      <c r="C9" s="2" t="s">
        <v>283</v>
      </c>
      <c r="D9" s="2" t="s">
        <v>32</v>
      </c>
      <c r="E9" s="2" t="s">
        <v>15</v>
      </c>
      <c r="F9" s="172" t="s">
        <v>363</v>
      </c>
      <c r="G9" s="2"/>
      <c r="I9" s="8"/>
    </row>
    <row r="10" spans="1:11" x14ac:dyDescent="0.25">
      <c r="A10" s="173" t="s">
        <v>364</v>
      </c>
      <c r="B10" s="174" t="s">
        <v>287</v>
      </c>
      <c r="C10" s="175" t="s">
        <v>288</v>
      </c>
      <c r="D10" s="175" t="s">
        <v>290</v>
      </c>
      <c r="E10" s="175" t="s">
        <v>290</v>
      </c>
      <c r="F10" s="176" t="s">
        <v>45</v>
      </c>
      <c r="G10" s="175"/>
      <c r="H10" s="8"/>
      <c r="I10" s="8"/>
    </row>
    <row r="11" spans="1:11" x14ac:dyDescent="0.25">
      <c r="A11" s="1">
        <v>2025</v>
      </c>
      <c r="B11" s="177">
        <f>+'EEC-2 Budget'!N54</f>
        <v>77087408.490903258</v>
      </c>
      <c r="C11" s="164">
        <f>+'EEC-2 Budget'!K54</f>
        <v>30974477.557562634</v>
      </c>
      <c r="D11" s="164">
        <f>+'EEC-2 Budget'!Q54</f>
        <v>32959003.224840675</v>
      </c>
      <c r="E11" s="164">
        <f>SUM(B11:D11)</f>
        <v>141020889.27330658</v>
      </c>
      <c r="F11" s="178">
        <f>+'EEC-2 Budget'!H54</f>
        <v>6403420.3717564661</v>
      </c>
      <c r="G11" s="164"/>
      <c r="I11" s="8"/>
      <c r="J11" s="116"/>
      <c r="K11" s="8"/>
    </row>
    <row r="12" spans="1:11" x14ac:dyDescent="0.25">
      <c r="A12" s="1">
        <v>2026</v>
      </c>
      <c r="B12" s="19">
        <f>+'EEC-2 Budget'!O54</f>
        <v>168028595.95653763</v>
      </c>
      <c r="C12" s="12">
        <f>+'EEC-2 Budget'!L54</f>
        <v>58166276.005307853</v>
      </c>
      <c r="D12" s="12">
        <f>+'EEC-2 Budget'!R54</f>
        <v>71460733.293888599</v>
      </c>
      <c r="E12" s="12">
        <f>SUM(B12:D12)</f>
        <v>297655605.25573409</v>
      </c>
      <c r="F12" s="179">
        <f>+'EEC-2 Budget'!I54</f>
        <v>13246990.22664036</v>
      </c>
      <c r="G12" s="12"/>
      <c r="I12" s="8"/>
      <c r="J12" s="116"/>
      <c r="K12" s="8"/>
    </row>
    <row r="13" spans="1:11" x14ac:dyDescent="0.25">
      <c r="A13" s="1">
        <v>2027</v>
      </c>
      <c r="B13" s="180">
        <f>+'EEC-2 Budget'!P54</f>
        <v>170872633.24339828</v>
      </c>
      <c r="C13" s="181">
        <f>+'EEC-2 Budget'!M54</f>
        <v>59031340.396147862</v>
      </c>
      <c r="D13" s="181">
        <f>+'EEC-2 Budget'!S54</f>
        <v>72268282.472228453</v>
      </c>
      <c r="E13" s="181">
        <f>SUM(B13:D13)</f>
        <v>302172256.11177462</v>
      </c>
      <c r="F13" s="182">
        <f>+'EEC-2 Budget'!J54</f>
        <v>13442000.559215123</v>
      </c>
      <c r="G13" s="12"/>
      <c r="I13" s="8"/>
      <c r="J13" s="116"/>
      <c r="K13" s="8"/>
    </row>
    <row r="14" spans="1:11" hidden="1" x14ac:dyDescent="0.25">
      <c r="A14" s="1">
        <v>2028</v>
      </c>
      <c r="B14" s="19">
        <v>0</v>
      </c>
      <c r="C14" s="12">
        <v>0</v>
      </c>
      <c r="D14" s="12"/>
      <c r="E14" s="12">
        <f t="shared" ref="E14:E22" si="0">SUM(B14:D14)</f>
        <v>0</v>
      </c>
      <c r="F14" s="179">
        <v>0</v>
      </c>
      <c r="G14" s="12"/>
    </row>
    <row r="15" spans="1:11" hidden="1" x14ac:dyDescent="0.25">
      <c r="A15" s="1">
        <v>2029</v>
      </c>
      <c r="B15" s="19">
        <v>0</v>
      </c>
      <c r="C15" s="12">
        <v>0</v>
      </c>
      <c r="D15" s="12"/>
      <c r="E15" s="12">
        <f t="shared" si="0"/>
        <v>0</v>
      </c>
      <c r="F15" s="179">
        <v>0</v>
      </c>
      <c r="G15" s="12"/>
    </row>
    <row r="16" spans="1:11" hidden="1" x14ac:dyDescent="0.25">
      <c r="A16" s="1">
        <v>2030</v>
      </c>
      <c r="B16" s="19">
        <v>0</v>
      </c>
      <c r="C16" s="12">
        <v>0</v>
      </c>
      <c r="D16" s="12"/>
      <c r="E16" s="12">
        <f t="shared" si="0"/>
        <v>0</v>
      </c>
      <c r="F16" s="179">
        <v>0</v>
      </c>
      <c r="G16" s="12"/>
    </row>
    <row r="17" spans="1:12" hidden="1" x14ac:dyDescent="0.25">
      <c r="A17" s="1">
        <v>2030</v>
      </c>
      <c r="B17" s="19">
        <v>0</v>
      </c>
      <c r="C17" s="12">
        <v>0</v>
      </c>
      <c r="D17" s="12"/>
      <c r="E17" s="12">
        <f t="shared" si="0"/>
        <v>0</v>
      </c>
      <c r="F17" s="179">
        <v>0</v>
      </c>
      <c r="G17" s="12"/>
    </row>
    <row r="18" spans="1:12" hidden="1" x14ac:dyDescent="0.25">
      <c r="A18" s="1">
        <v>2031</v>
      </c>
      <c r="B18" s="19">
        <v>0</v>
      </c>
      <c r="C18" s="12">
        <v>0</v>
      </c>
      <c r="D18" s="12"/>
      <c r="E18" s="12">
        <f t="shared" si="0"/>
        <v>0</v>
      </c>
      <c r="F18" s="179">
        <v>0</v>
      </c>
      <c r="G18" s="12"/>
    </row>
    <row r="19" spans="1:12" hidden="1" x14ac:dyDescent="0.25">
      <c r="A19" s="1">
        <v>2032</v>
      </c>
      <c r="B19" s="19">
        <v>0</v>
      </c>
      <c r="C19" s="12">
        <v>0</v>
      </c>
      <c r="D19" s="12"/>
      <c r="E19" s="12">
        <f t="shared" si="0"/>
        <v>0</v>
      </c>
      <c r="F19" s="179">
        <v>0</v>
      </c>
      <c r="G19" s="12"/>
    </row>
    <row r="20" spans="1:12" hidden="1" x14ac:dyDescent="0.25">
      <c r="A20" s="1">
        <v>2033</v>
      </c>
      <c r="B20" s="19">
        <v>0</v>
      </c>
      <c r="C20" s="12">
        <v>0</v>
      </c>
      <c r="D20" s="12"/>
      <c r="E20" s="12">
        <f t="shared" si="0"/>
        <v>0</v>
      </c>
      <c r="F20" s="179">
        <v>0</v>
      </c>
      <c r="G20" s="12"/>
    </row>
    <row r="21" spans="1:12" hidden="1" x14ac:dyDescent="0.25">
      <c r="A21" s="1">
        <v>2034</v>
      </c>
      <c r="B21" s="19">
        <v>0</v>
      </c>
      <c r="C21" s="12">
        <v>0</v>
      </c>
      <c r="D21" s="12"/>
      <c r="E21" s="12">
        <f t="shared" si="0"/>
        <v>0</v>
      </c>
      <c r="F21" s="179">
        <v>0</v>
      </c>
      <c r="G21" s="12"/>
    </row>
    <row r="22" spans="1:12" ht="17.25" hidden="1" x14ac:dyDescent="0.4">
      <c r="A22" s="1">
        <v>2035</v>
      </c>
      <c r="B22" s="183">
        <v>0</v>
      </c>
      <c r="C22" s="184">
        <v>0</v>
      </c>
      <c r="D22" s="184">
        <v>0</v>
      </c>
      <c r="E22" s="184">
        <f t="shared" si="0"/>
        <v>0</v>
      </c>
      <c r="F22" s="185">
        <v>0</v>
      </c>
      <c r="G22" s="184"/>
    </row>
    <row r="23" spans="1:12" x14ac:dyDescent="0.25">
      <c r="A23" s="1" t="s">
        <v>15</v>
      </c>
      <c r="B23" s="186">
        <f>SUM(B11:B22)</f>
        <v>415988637.69083917</v>
      </c>
      <c r="C23" s="187">
        <f>SUM(C11:C22)</f>
        <v>148172093.95901835</v>
      </c>
      <c r="D23" s="187">
        <f>SUM(D11:D22)</f>
        <v>176688018.99095774</v>
      </c>
      <c r="E23" s="187">
        <f>SUM(E11:E22)</f>
        <v>740848750.64081526</v>
      </c>
      <c r="F23" s="188">
        <f>SUM(F11:F13)</f>
        <v>33092411.157611951</v>
      </c>
      <c r="G23" s="164"/>
      <c r="I23" s="8"/>
      <c r="J23" s="156"/>
    </row>
    <row r="24" spans="1:12" x14ac:dyDescent="0.25">
      <c r="A24" s="173" t="s">
        <v>365</v>
      </c>
      <c r="B24" s="6">
        <f>'EEC-2 Budget'!N54+'EEC-2 Budget'!O54+'EEC-2 Budget'!P54</f>
        <v>415988637.69083917</v>
      </c>
      <c r="C24" s="6">
        <f>'EEC-2 Budget'!K54+'EEC-2 Budget'!L54+'EEC-2 Budget'!M54</f>
        <v>148172093.95901835</v>
      </c>
      <c r="D24" s="6">
        <f>'EEC-2 Budget'!Q54+'EEC-2 Budget'!R54+'EEC-2 Budget'!S54</f>
        <v>176688018.99095774</v>
      </c>
      <c r="E24" s="7">
        <f>B24+C24+D24</f>
        <v>740848750.64081526</v>
      </c>
      <c r="F24" s="6">
        <f>'EEC-2 Budget'!H54+'EEC-2 Budget'!I54+'EEC-2 Budget'!J54</f>
        <v>33092411.157611951</v>
      </c>
      <c r="G24" s="7"/>
    </row>
    <row r="25" spans="1:12" x14ac:dyDescent="0.25">
      <c r="A25" s="1"/>
      <c r="B25" s="7">
        <f>B23-B24</f>
        <v>0</v>
      </c>
      <c r="C25" s="7">
        <f>C23-C24</f>
        <v>0</v>
      </c>
      <c r="D25" s="7">
        <f>D23-D24</f>
        <v>0</v>
      </c>
      <c r="E25" s="7">
        <f>E23-E24</f>
        <v>0</v>
      </c>
      <c r="F25" s="7">
        <f>F23-F24</f>
        <v>0</v>
      </c>
      <c r="G25" s="7"/>
    </row>
    <row r="26" spans="1:12" x14ac:dyDescent="0.25">
      <c r="A26" t="s">
        <v>366</v>
      </c>
      <c r="B26" s="7"/>
      <c r="C26" s="7"/>
      <c r="D26" s="7"/>
      <c r="E26" s="7"/>
      <c r="F26" s="7"/>
      <c r="G26" s="7"/>
    </row>
    <row r="27" spans="1:12" x14ac:dyDescent="0.25">
      <c r="B27" s="547" t="s">
        <v>337</v>
      </c>
      <c r="C27" s="548"/>
      <c r="D27" s="548"/>
      <c r="E27" s="548"/>
      <c r="F27" s="549"/>
      <c r="G27" s="2"/>
      <c r="J27" s="156"/>
    </row>
    <row r="28" spans="1:12" x14ac:dyDescent="0.25">
      <c r="A28" s="2" t="s">
        <v>285</v>
      </c>
      <c r="B28" s="189" t="s">
        <v>28</v>
      </c>
      <c r="C28" s="2" t="s">
        <v>283</v>
      </c>
      <c r="D28" s="2" t="s">
        <v>32</v>
      </c>
      <c r="E28" s="2" t="s">
        <v>15</v>
      </c>
      <c r="F28" s="190" t="s">
        <v>363</v>
      </c>
      <c r="G28" s="2"/>
      <c r="I28" s="2" t="s">
        <v>367</v>
      </c>
      <c r="J28" s="2" t="s">
        <v>367</v>
      </c>
      <c r="K28" s="2" t="s">
        <v>367</v>
      </c>
      <c r="L28" s="2"/>
    </row>
    <row r="29" spans="1:12" ht="15.75" thickBot="1" x14ac:dyDescent="0.3">
      <c r="A29" s="2" t="s">
        <v>21</v>
      </c>
      <c r="B29" s="191" t="s">
        <v>287</v>
      </c>
      <c r="C29" s="192" t="s">
        <v>368</v>
      </c>
      <c r="D29" s="2" t="s">
        <v>291</v>
      </c>
      <c r="E29" s="2" t="s">
        <v>290</v>
      </c>
      <c r="F29" s="193" t="s">
        <v>295</v>
      </c>
      <c r="G29" s="2"/>
      <c r="I29" s="2" t="s">
        <v>369</v>
      </c>
      <c r="J29" s="2" t="s">
        <v>370</v>
      </c>
      <c r="K29" s="2" t="s">
        <v>371</v>
      </c>
      <c r="L29" s="2" t="s">
        <v>15</v>
      </c>
    </row>
    <row r="30" spans="1:12" x14ac:dyDescent="0.25">
      <c r="A30" s="194"/>
      <c r="B30" s="195"/>
      <c r="C30" s="196"/>
      <c r="D30" s="196"/>
      <c r="E30" s="196"/>
      <c r="F30" s="197"/>
      <c r="G30" s="2"/>
    </row>
    <row r="31" spans="1:12" x14ac:dyDescent="0.25">
      <c r="A31" s="5">
        <v>45474</v>
      </c>
      <c r="B31" s="198"/>
      <c r="C31" s="8"/>
      <c r="D31" s="8"/>
      <c r="E31" s="8"/>
      <c r="F31" s="199"/>
      <c r="G31" s="164"/>
    </row>
    <row r="32" spans="1:12" x14ac:dyDescent="0.25">
      <c r="A32" s="5">
        <v>45505</v>
      </c>
      <c r="B32" s="200"/>
      <c r="C32" s="12"/>
      <c r="D32" s="12"/>
      <c r="E32" s="12"/>
      <c r="F32" s="201"/>
      <c r="G32" s="12"/>
    </row>
    <row r="33" spans="1:13" x14ac:dyDescent="0.25">
      <c r="A33" s="104">
        <v>45536</v>
      </c>
      <c r="B33" s="202"/>
      <c r="C33" s="181"/>
      <c r="D33" s="181"/>
      <c r="E33" s="181"/>
      <c r="F33" s="203"/>
      <c r="G33" s="12"/>
    </row>
    <row r="34" spans="1:13" x14ac:dyDescent="0.25">
      <c r="A34" s="5">
        <v>45566</v>
      </c>
      <c r="B34" s="200"/>
      <c r="C34" s="12"/>
      <c r="D34" s="12"/>
      <c r="E34" s="12"/>
      <c r="F34" s="201"/>
      <c r="G34" s="12"/>
    </row>
    <row r="35" spans="1:13" x14ac:dyDescent="0.25">
      <c r="A35" s="5">
        <v>45597</v>
      </c>
      <c r="B35" s="200"/>
      <c r="C35" s="12"/>
      <c r="D35" s="12"/>
      <c r="E35" s="12"/>
      <c r="F35" s="201"/>
      <c r="G35" s="12"/>
    </row>
    <row r="36" spans="1:13" x14ac:dyDescent="0.25">
      <c r="A36" s="104">
        <v>45627</v>
      </c>
      <c r="B36" s="202"/>
      <c r="C36" s="181"/>
      <c r="D36" s="181"/>
      <c r="E36" s="181"/>
      <c r="F36" s="203"/>
      <c r="G36" s="12"/>
    </row>
    <row r="37" spans="1:13" x14ac:dyDescent="0.25">
      <c r="A37" s="5">
        <v>45658</v>
      </c>
      <c r="B37" s="204">
        <f t="shared" ref="B37:B42" si="1">$B$11/6</f>
        <v>12847901.415150544</v>
      </c>
      <c r="C37" s="164">
        <f t="shared" ref="C37:C42" si="2">($C$11)/6</f>
        <v>5162412.9262604387</v>
      </c>
      <c r="D37" s="164">
        <f t="shared" ref="D37:D42" si="3">($D$11)/6</f>
        <v>5493167.2041401127</v>
      </c>
      <c r="E37" s="164">
        <f>SUM(B37:D37)</f>
        <v>23503481.545551095</v>
      </c>
      <c r="F37" s="199">
        <f t="shared" ref="F37:F42" si="4">+$F$11/6</f>
        <v>1067236.7286260778</v>
      </c>
      <c r="G37" s="164"/>
      <c r="H37" t="s">
        <v>287</v>
      </c>
      <c r="I37" s="8">
        <f>SUM(B37:C48)</f>
        <v>221159322.02938855</v>
      </c>
      <c r="J37" s="8">
        <f>SUM(B49:C60)</f>
        <v>228049422.80069581</v>
      </c>
      <c r="K37" s="13">
        <f>SUM(B61:C66)</f>
        <v>114951986.81977308</v>
      </c>
      <c r="L37" s="8">
        <f>I37+J37+K37</f>
        <v>564160731.6498574</v>
      </c>
      <c r="M37" s="8">
        <f>B163+C163</f>
        <v>564160731.64985752</v>
      </c>
    </row>
    <row r="38" spans="1:13" x14ac:dyDescent="0.25">
      <c r="A38" s="5">
        <v>45689</v>
      </c>
      <c r="B38" s="200">
        <f t="shared" si="1"/>
        <v>12847901.415150544</v>
      </c>
      <c r="C38" s="12">
        <f t="shared" si="2"/>
        <v>5162412.9262604387</v>
      </c>
      <c r="D38" s="12">
        <f t="shared" si="3"/>
        <v>5493167.2041401127</v>
      </c>
      <c r="E38" s="12">
        <f>SUM(B38:D38)</f>
        <v>23503481.545551095</v>
      </c>
      <c r="F38" s="201">
        <f t="shared" si="4"/>
        <v>1067236.7286260778</v>
      </c>
      <c r="G38" s="12"/>
      <c r="I38" s="8"/>
      <c r="J38" s="8"/>
      <c r="K38" s="13"/>
      <c r="L38" s="8"/>
      <c r="M38" s="8"/>
    </row>
    <row r="39" spans="1:13" x14ac:dyDescent="0.25">
      <c r="A39" s="104">
        <v>45717</v>
      </c>
      <c r="B39" s="202">
        <f t="shared" si="1"/>
        <v>12847901.415150544</v>
      </c>
      <c r="C39" s="181">
        <f t="shared" si="2"/>
        <v>5162412.9262604387</v>
      </c>
      <c r="D39" s="181">
        <f t="shared" si="3"/>
        <v>5493167.2041401127</v>
      </c>
      <c r="E39" s="181">
        <f>SUM(B39:D39)</f>
        <v>23503481.545551095</v>
      </c>
      <c r="F39" s="203">
        <f t="shared" si="4"/>
        <v>1067236.7286260778</v>
      </c>
      <c r="G39" s="12"/>
      <c r="H39" t="s">
        <v>32</v>
      </c>
      <c r="I39" s="6">
        <f>SUM(D37:D48)</f>
        <v>68689369.871784985</v>
      </c>
      <c r="J39" s="6">
        <f>SUM(D49:D60)</f>
        <v>71864507.883058503</v>
      </c>
      <c r="K39" s="6">
        <f>SUM(D61:D66)</f>
        <v>36134141.236114226</v>
      </c>
      <c r="L39" s="6">
        <f>I39+J39+K39</f>
        <v>176688018.99095771</v>
      </c>
      <c r="M39" s="6">
        <f>D163</f>
        <v>176688018.99095774</v>
      </c>
    </row>
    <row r="40" spans="1:13" x14ac:dyDescent="0.25">
      <c r="A40" s="5">
        <v>45748</v>
      </c>
      <c r="B40" s="200">
        <f t="shared" si="1"/>
        <v>12847901.415150544</v>
      </c>
      <c r="C40" s="12">
        <f t="shared" si="2"/>
        <v>5162412.9262604387</v>
      </c>
      <c r="D40" s="12">
        <f t="shared" si="3"/>
        <v>5493167.2041401127</v>
      </c>
      <c r="E40" s="12">
        <f>SUM(B40:D40)</f>
        <v>23503481.545551095</v>
      </c>
      <c r="F40" s="201">
        <f t="shared" si="4"/>
        <v>1067236.7286260778</v>
      </c>
      <c r="G40" s="12"/>
      <c r="H40" t="s">
        <v>41</v>
      </c>
      <c r="I40" s="6">
        <f>+'CAP-3 EE&amp;C'!R185</f>
        <v>3056710.9708858095</v>
      </c>
      <c r="J40" s="6">
        <f>+'CAP-3 EE&amp;C'!R186</f>
        <v>19734303.858541373</v>
      </c>
      <c r="K40" s="6">
        <f>+'CAP-3 EE&amp;C'!R187</f>
        <v>34994444.567629397</v>
      </c>
      <c r="L40" s="6">
        <f>I40+J40+K40</f>
        <v>57785459.39705658</v>
      </c>
      <c r="M40" s="6">
        <f>D164</f>
        <v>0</v>
      </c>
    </row>
    <row r="41" spans="1:13" x14ac:dyDescent="0.25">
      <c r="A41" s="5">
        <v>45778</v>
      </c>
      <c r="B41" s="200">
        <f t="shared" si="1"/>
        <v>12847901.415150544</v>
      </c>
      <c r="C41" s="12">
        <f t="shared" si="2"/>
        <v>5162412.9262604387</v>
      </c>
      <c r="D41" s="12">
        <f t="shared" si="3"/>
        <v>5493167.2041401127</v>
      </c>
      <c r="E41" s="12">
        <f t="shared" ref="E41:E95" si="5">SUM(B41:D41)</f>
        <v>23503481.545551095</v>
      </c>
      <c r="F41" s="201">
        <f t="shared" si="4"/>
        <v>1067236.7286260778</v>
      </c>
      <c r="G41" s="12"/>
      <c r="H41" t="s">
        <v>372</v>
      </c>
      <c r="I41" s="205">
        <f>I39+I40</f>
        <v>71746080.842670798</v>
      </c>
      <c r="J41" s="205">
        <f>J39+J40</f>
        <v>91598811.741599873</v>
      </c>
      <c r="K41" s="205">
        <f>K39+K40</f>
        <v>71128585.803743631</v>
      </c>
      <c r="L41" s="205">
        <f>L39+L40</f>
        <v>234473478.38801429</v>
      </c>
      <c r="M41" s="205">
        <f>M39+M40</f>
        <v>176688018.99095774</v>
      </c>
    </row>
    <row r="42" spans="1:13" x14ac:dyDescent="0.25">
      <c r="A42" s="104">
        <v>45809</v>
      </c>
      <c r="B42" s="202">
        <f t="shared" si="1"/>
        <v>12847901.415150544</v>
      </c>
      <c r="C42" s="181">
        <f t="shared" si="2"/>
        <v>5162412.9262604387</v>
      </c>
      <c r="D42" s="181">
        <f t="shared" si="3"/>
        <v>5493167.2041401127</v>
      </c>
      <c r="E42" s="181">
        <f t="shared" si="5"/>
        <v>23503481.545551095</v>
      </c>
      <c r="F42" s="203">
        <f t="shared" si="4"/>
        <v>1067236.7286260778</v>
      </c>
      <c r="G42" s="12"/>
    </row>
    <row r="43" spans="1:13" x14ac:dyDescent="0.25">
      <c r="A43" s="5">
        <v>45839</v>
      </c>
      <c r="B43" s="200">
        <f>+$B$12/12</f>
        <v>14002382.996378137</v>
      </c>
      <c r="C43" s="12">
        <f>($C$12)/12</f>
        <v>4847189.6671089875</v>
      </c>
      <c r="D43" s="12">
        <f>($D$12)/12</f>
        <v>5955061.1078240499</v>
      </c>
      <c r="E43" s="12">
        <f t="shared" si="5"/>
        <v>24804633.771311175</v>
      </c>
      <c r="F43" s="201">
        <f t="shared" ref="F43:F54" si="6">+$F$12/12</f>
        <v>1103915.85222003</v>
      </c>
      <c r="G43" s="12"/>
      <c r="H43" t="s">
        <v>373</v>
      </c>
      <c r="I43" s="6">
        <f>SUM(F37:F48)</f>
        <v>13026915.485076649</v>
      </c>
      <c r="J43" s="6">
        <f>SUM(F49:F60)</f>
        <v>13344495.39292774</v>
      </c>
      <c r="K43" s="6">
        <f>SUM(F61:F66)</f>
        <v>6721000.2796075614</v>
      </c>
      <c r="L43" s="6">
        <f>I43+J43+K43</f>
        <v>33092411.157611948</v>
      </c>
      <c r="M43" s="6">
        <f>F163</f>
        <v>33092411.15761194</v>
      </c>
    </row>
    <row r="44" spans="1:13" ht="15.75" thickBot="1" x14ac:dyDescent="0.3">
      <c r="A44" s="5">
        <v>45870</v>
      </c>
      <c r="B44" s="200">
        <f t="shared" ref="B44:B54" si="7">+$B$12/12</f>
        <v>14002382.996378137</v>
      </c>
      <c r="C44" s="12">
        <f t="shared" ref="C44:C54" si="8">($C$12)/12</f>
        <v>4847189.6671089875</v>
      </c>
      <c r="D44" s="12">
        <f t="shared" ref="D44:D54" si="9">($D$12)/12</f>
        <v>5955061.1078240499</v>
      </c>
      <c r="E44" s="12">
        <f t="shared" si="5"/>
        <v>24804633.771311175</v>
      </c>
      <c r="F44" s="201">
        <f t="shared" si="6"/>
        <v>1103915.85222003</v>
      </c>
      <c r="G44" s="12"/>
      <c r="H44" t="s">
        <v>374</v>
      </c>
      <c r="I44" s="206">
        <f>I37+I41+I43</f>
        <v>305932318.35713601</v>
      </c>
      <c r="J44" s="206">
        <f>J37+J41+J43</f>
        <v>332992729.93522346</v>
      </c>
      <c r="K44" s="206">
        <f>K37+K41+K43</f>
        <v>192801572.90312427</v>
      </c>
      <c r="L44" s="206">
        <f>L37+L41+L43</f>
        <v>831726621.19548368</v>
      </c>
    </row>
    <row r="45" spans="1:13" ht="15.75" thickTop="1" x14ac:dyDescent="0.25">
      <c r="A45" s="104">
        <v>45901</v>
      </c>
      <c r="B45" s="202">
        <f t="shared" si="7"/>
        <v>14002382.996378137</v>
      </c>
      <c r="C45" s="181">
        <f t="shared" si="8"/>
        <v>4847189.6671089875</v>
      </c>
      <c r="D45" s="181">
        <f t="shared" si="9"/>
        <v>5955061.1078240499</v>
      </c>
      <c r="E45" s="181">
        <f t="shared" si="5"/>
        <v>24804633.771311175</v>
      </c>
      <c r="F45" s="203">
        <f t="shared" si="6"/>
        <v>1103915.85222003</v>
      </c>
      <c r="G45" s="12"/>
    </row>
    <row r="46" spans="1:13" x14ac:dyDescent="0.25">
      <c r="A46" s="5">
        <v>45931</v>
      </c>
      <c r="B46" s="200">
        <f t="shared" si="7"/>
        <v>14002382.996378137</v>
      </c>
      <c r="C46" s="12">
        <f t="shared" si="8"/>
        <v>4847189.6671089875</v>
      </c>
      <c r="D46" s="12">
        <f t="shared" si="9"/>
        <v>5955061.1078240499</v>
      </c>
      <c r="E46" s="12">
        <f t="shared" si="5"/>
        <v>24804633.771311175</v>
      </c>
      <c r="F46" s="201">
        <f t="shared" si="6"/>
        <v>1103915.85222003</v>
      </c>
      <c r="G46" s="12"/>
    </row>
    <row r="47" spans="1:13" x14ac:dyDescent="0.25">
      <c r="A47" s="5">
        <v>45962</v>
      </c>
      <c r="B47" s="200">
        <f t="shared" si="7"/>
        <v>14002382.996378137</v>
      </c>
      <c r="C47" s="12">
        <f t="shared" si="8"/>
        <v>4847189.6671089875</v>
      </c>
      <c r="D47" s="12">
        <f t="shared" si="9"/>
        <v>5955061.1078240499</v>
      </c>
      <c r="E47" s="12">
        <f t="shared" si="5"/>
        <v>24804633.771311175</v>
      </c>
      <c r="F47" s="201">
        <f t="shared" si="6"/>
        <v>1103915.85222003</v>
      </c>
      <c r="G47" s="12"/>
    </row>
    <row r="48" spans="1:13" x14ac:dyDescent="0.25">
      <c r="A48" s="104">
        <v>45992</v>
      </c>
      <c r="B48" s="202">
        <f t="shared" si="7"/>
        <v>14002382.996378137</v>
      </c>
      <c r="C48" s="181">
        <f t="shared" si="8"/>
        <v>4847189.6671089875</v>
      </c>
      <c r="D48" s="181">
        <f t="shared" si="9"/>
        <v>5955061.1078240499</v>
      </c>
      <c r="E48" s="181">
        <f t="shared" si="5"/>
        <v>24804633.771311175</v>
      </c>
      <c r="F48" s="203">
        <f t="shared" si="6"/>
        <v>1103915.85222003</v>
      </c>
      <c r="G48" s="12"/>
    </row>
    <row r="49" spans="1:7" x14ac:dyDescent="0.25">
      <c r="A49" s="5">
        <v>46023</v>
      </c>
      <c r="B49" s="200">
        <f t="shared" si="7"/>
        <v>14002382.996378137</v>
      </c>
      <c r="C49" s="12">
        <f t="shared" si="8"/>
        <v>4847189.6671089875</v>
      </c>
      <c r="D49" s="12">
        <f t="shared" si="9"/>
        <v>5955061.1078240499</v>
      </c>
      <c r="E49" s="12">
        <f t="shared" si="5"/>
        <v>24804633.771311175</v>
      </c>
      <c r="F49" s="201">
        <f t="shared" si="6"/>
        <v>1103915.85222003</v>
      </c>
      <c r="G49" s="12"/>
    </row>
    <row r="50" spans="1:7" x14ac:dyDescent="0.25">
      <c r="A50" s="5">
        <v>46054</v>
      </c>
      <c r="B50" s="200">
        <f t="shared" si="7"/>
        <v>14002382.996378137</v>
      </c>
      <c r="C50" s="12">
        <f t="shared" si="8"/>
        <v>4847189.6671089875</v>
      </c>
      <c r="D50" s="12">
        <f t="shared" si="9"/>
        <v>5955061.1078240499</v>
      </c>
      <c r="E50" s="12">
        <f t="shared" si="5"/>
        <v>24804633.771311175</v>
      </c>
      <c r="F50" s="201">
        <f t="shared" si="6"/>
        <v>1103915.85222003</v>
      </c>
      <c r="G50" s="12"/>
    </row>
    <row r="51" spans="1:7" x14ac:dyDescent="0.25">
      <c r="A51" s="104">
        <v>46082</v>
      </c>
      <c r="B51" s="202">
        <f t="shared" si="7"/>
        <v>14002382.996378137</v>
      </c>
      <c r="C51" s="181">
        <f t="shared" si="8"/>
        <v>4847189.6671089875</v>
      </c>
      <c r="D51" s="181">
        <f t="shared" si="9"/>
        <v>5955061.1078240499</v>
      </c>
      <c r="E51" s="181">
        <f t="shared" si="5"/>
        <v>24804633.771311175</v>
      </c>
      <c r="F51" s="203">
        <f t="shared" si="6"/>
        <v>1103915.85222003</v>
      </c>
      <c r="G51" s="12"/>
    </row>
    <row r="52" spans="1:7" x14ac:dyDescent="0.25">
      <c r="A52" s="5">
        <v>46113</v>
      </c>
      <c r="B52" s="200">
        <f t="shared" si="7"/>
        <v>14002382.996378137</v>
      </c>
      <c r="C52" s="12">
        <f t="shared" si="8"/>
        <v>4847189.6671089875</v>
      </c>
      <c r="D52" s="12">
        <f t="shared" si="9"/>
        <v>5955061.1078240499</v>
      </c>
      <c r="E52" s="12">
        <f t="shared" si="5"/>
        <v>24804633.771311175</v>
      </c>
      <c r="F52" s="201">
        <f t="shared" si="6"/>
        <v>1103915.85222003</v>
      </c>
      <c r="G52" s="12"/>
    </row>
    <row r="53" spans="1:7" x14ac:dyDescent="0.25">
      <c r="A53" s="5">
        <v>46143</v>
      </c>
      <c r="B53" s="200">
        <f t="shared" si="7"/>
        <v>14002382.996378137</v>
      </c>
      <c r="C53" s="12">
        <f t="shared" si="8"/>
        <v>4847189.6671089875</v>
      </c>
      <c r="D53" s="12">
        <f t="shared" si="9"/>
        <v>5955061.1078240499</v>
      </c>
      <c r="E53" s="12">
        <f t="shared" si="5"/>
        <v>24804633.771311175</v>
      </c>
      <c r="F53" s="201">
        <f t="shared" si="6"/>
        <v>1103915.85222003</v>
      </c>
      <c r="G53" s="12"/>
    </row>
    <row r="54" spans="1:7" x14ac:dyDescent="0.25">
      <c r="A54" s="104">
        <v>46174</v>
      </c>
      <c r="B54" s="202">
        <f t="shared" si="7"/>
        <v>14002382.996378137</v>
      </c>
      <c r="C54" s="181">
        <f t="shared" si="8"/>
        <v>4847189.6671089875</v>
      </c>
      <c r="D54" s="181">
        <f t="shared" si="9"/>
        <v>5955061.1078240499</v>
      </c>
      <c r="E54" s="181">
        <f t="shared" si="5"/>
        <v>24804633.771311175</v>
      </c>
      <c r="F54" s="203">
        <f t="shared" si="6"/>
        <v>1103915.85222003</v>
      </c>
      <c r="G54" s="12"/>
    </row>
    <row r="55" spans="1:7" x14ac:dyDescent="0.25">
      <c r="A55" s="5">
        <v>46204</v>
      </c>
      <c r="B55" s="200">
        <f>+$B$13/12</f>
        <v>14239386.103616523</v>
      </c>
      <c r="C55" s="12">
        <f>($C$13)/12</f>
        <v>4919278.3663456552</v>
      </c>
      <c r="D55" s="12">
        <f t="shared" ref="D55:D66" si="10">($D$13)/12</f>
        <v>6022356.8726857044</v>
      </c>
      <c r="E55" s="12">
        <f t="shared" si="5"/>
        <v>25181021.342647884</v>
      </c>
      <c r="F55" s="201">
        <f t="shared" ref="F55:F66" si="11">+$F$13/12</f>
        <v>1120166.7132679268</v>
      </c>
      <c r="G55" s="12"/>
    </row>
    <row r="56" spans="1:7" x14ac:dyDescent="0.25">
      <c r="A56" s="5">
        <v>46235</v>
      </c>
      <c r="B56" s="200">
        <f t="shared" ref="B56:B66" si="12">+$B$13/12</f>
        <v>14239386.103616523</v>
      </c>
      <c r="C56" s="12">
        <f t="shared" ref="C56:C66" si="13">($C$13)/12</f>
        <v>4919278.3663456552</v>
      </c>
      <c r="D56" s="12">
        <f t="shared" si="10"/>
        <v>6022356.8726857044</v>
      </c>
      <c r="E56" s="12">
        <f t="shared" si="5"/>
        <v>25181021.342647884</v>
      </c>
      <c r="F56" s="201">
        <f t="shared" si="11"/>
        <v>1120166.7132679268</v>
      </c>
      <c r="G56" s="12"/>
    </row>
    <row r="57" spans="1:7" x14ac:dyDescent="0.25">
      <c r="A57" s="104">
        <v>46266</v>
      </c>
      <c r="B57" s="202">
        <f t="shared" si="12"/>
        <v>14239386.103616523</v>
      </c>
      <c r="C57" s="181">
        <f t="shared" si="13"/>
        <v>4919278.3663456552</v>
      </c>
      <c r="D57" s="181">
        <f t="shared" si="10"/>
        <v>6022356.8726857044</v>
      </c>
      <c r="E57" s="181">
        <f t="shared" si="5"/>
        <v>25181021.342647884</v>
      </c>
      <c r="F57" s="203">
        <f t="shared" si="11"/>
        <v>1120166.7132679268</v>
      </c>
      <c r="G57" s="12"/>
    </row>
    <row r="58" spans="1:7" x14ac:dyDescent="0.25">
      <c r="A58" s="5">
        <v>46296</v>
      </c>
      <c r="B58" s="200">
        <f t="shared" si="12"/>
        <v>14239386.103616523</v>
      </c>
      <c r="C58" s="12">
        <f t="shared" si="13"/>
        <v>4919278.3663456552</v>
      </c>
      <c r="D58" s="12">
        <f t="shared" si="10"/>
        <v>6022356.8726857044</v>
      </c>
      <c r="E58" s="12">
        <f t="shared" si="5"/>
        <v>25181021.342647884</v>
      </c>
      <c r="F58" s="201">
        <f t="shared" si="11"/>
        <v>1120166.7132679268</v>
      </c>
      <c r="G58" s="12"/>
    </row>
    <row r="59" spans="1:7" x14ac:dyDescent="0.25">
      <c r="A59" s="5">
        <v>46327</v>
      </c>
      <c r="B59" s="200">
        <f t="shared" si="12"/>
        <v>14239386.103616523</v>
      </c>
      <c r="C59" s="12">
        <f t="shared" si="13"/>
        <v>4919278.3663456552</v>
      </c>
      <c r="D59" s="12">
        <f t="shared" si="10"/>
        <v>6022356.8726857044</v>
      </c>
      <c r="E59" s="12">
        <f t="shared" si="5"/>
        <v>25181021.342647884</v>
      </c>
      <c r="F59" s="201">
        <f t="shared" si="11"/>
        <v>1120166.7132679268</v>
      </c>
      <c r="G59" s="12"/>
    </row>
    <row r="60" spans="1:7" x14ac:dyDescent="0.25">
      <c r="A60" s="104">
        <v>46357</v>
      </c>
      <c r="B60" s="202">
        <f t="shared" si="12"/>
        <v>14239386.103616523</v>
      </c>
      <c r="C60" s="181">
        <f t="shared" si="13"/>
        <v>4919278.3663456552</v>
      </c>
      <c r="D60" s="181">
        <f t="shared" si="10"/>
        <v>6022356.8726857044</v>
      </c>
      <c r="E60" s="181">
        <f t="shared" si="5"/>
        <v>25181021.342647884</v>
      </c>
      <c r="F60" s="203">
        <f t="shared" si="11"/>
        <v>1120166.7132679268</v>
      </c>
      <c r="G60" s="12"/>
    </row>
    <row r="61" spans="1:7" x14ac:dyDescent="0.25">
      <c r="A61" s="5">
        <v>46388</v>
      </c>
      <c r="B61" s="200">
        <f t="shared" si="12"/>
        <v>14239386.103616523</v>
      </c>
      <c r="C61" s="12">
        <f t="shared" si="13"/>
        <v>4919278.3663456552</v>
      </c>
      <c r="D61" s="12">
        <f t="shared" si="10"/>
        <v>6022356.8726857044</v>
      </c>
      <c r="E61" s="12">
        <f t="shared" si="5"/>
        <v>25181021.342647884</v>
      </c>
      <c r="F61" s="201">
        <f t="shared" si="11"/>
        <v>1120166.7132679268</v>
      </c>
      <c r="G61" s="12"/>
    </row>
    <row r="62" spans="1:7" x14ac:dyDescent="0.25">
      <c r="A62" s="5">
        <v>46419</v>
      </c>
      <c r="B62" s="200">
        <f t="shared" si="12"/>
        <v>14239386.103616523</v>
      </c>
      <c r="C62" s="12">
        <f t="shared" si="13"/>
        <v>4919278.3663456552</v>
      </c>
      <c r="D62" s="12">
        <f t="shared" si="10"/>
        <v>6022356.8726857044</v>
      </c>
      <c r="E62" s="12">
        <f t="shared" si="5"/>
        <v>25181021.342647884</v>
      </c>
      <c r="F62" s="201">
        <f t="shared" si="11"/>
        <v>1120166.7132679268</v>
      </c>
      <c r="G62" s="12"/>
    </row>
    <row r="63" spans="1:7" x14ac:dyDescent="0.25">
      <c r="A63" s="104">
        <v>46447</v>
      </c>
      <c r="B63" s="202">
        <f t="shared" si="12"/>
        <v>14239386.103616523</v>
      </c>
      <c r="C63" s="181">
        <f t="shared" si="13"/>
        <v>4919278.3663456552</v>
      </c>
      <c r="D63" s="181">
        <f t="shared" si="10"/>
        <v>6022356.8726857044</v>
      </c>
      <c r="E63" s="181">
        <f t="shared" si="5"/>
        <v>25181021.342647884</v>
      </c>
      <c r="F63" s="203">
        <f t="shared" si="11"/>
        <v>1120166.7132679268</v>
      </c>
      <c r="G63" s="12"/>
    </row>
    <row r="64" spans="1:7" x14ac:dyDescent="0.25">
      <c r="A64" s="5">
        <v>46478</v>
      </c>
      <c r="B64" s="200">
        <f t="shared" si="12"/>
        <v>14239386.103616523</v>
      </c>
      <c r="C64" s="12">
        <f t="shared" si="13"/>
        <v>4919278.3663456552</v>
      </c>
      <c r="D64" s="12">
        <f t="shared" si="10"/>
        <v>6022356.8726857044</v>
      </c>
      <c r="E64" s="12">
        <f t="shared" si="5"/>
        <v>25181021.342647884</v>
      </c>
      <c r="F64" s="201">
        <f t="shared" si="11"/>
        <v>1120166.7132679268</v>
      </c>
      <c r="G64" s="12"/>
    </row>
    <row r="65" spans="1:7" x14ac:dyDescent="0.25">
      <c r="A65" s="5">
        <v>46508</v>
      </c>
      <c r="B65" s="200">
        <f t="shared" si="12"/>
        <v>14239386.103616523</v>
      </c>
      <c r="C65" s="12">
        <f t="shared" si="13"/>
        <v>4919278.3663456552</v>
      </c>
      <c r="D65" s="12">
        <f t="shared" si="10"/>
        <v>6022356.8726857044</v>
      </c>
      <c r="E65" s="12">
        <f t="shared" si="5"/>
        <v>25181021.342647884</v>
      </c>
      <c r="F65" s="201">
        <f t="shared" si="11"/>
        <v>1120166.7132679268</v>
      </c>
      <c r="G65" s="12"/>
    </row>
    <row r="66" spans="1:7" x14ac:dyDescent="0.25">
      <c r="A66" s="104">
        <v>46539</v>
      </c>
      <c r="B66" s="202">
        <f t="shared" si="12"/>
        <v>14239386.103616523</v>
      </c>
      <c r="C66" s="181">
        <f t="shared" si="13"/>
        <v>4919278.3663456552</v>
      </c>
      <c r="D66" s="181">
        <f t="shared" si="10"/>
        <v>6022356.8726857044</v>
      </c>
      <c r="E66" s="181">
        <f t="shared" si="5"/>
        <v>25181021.342647884</v>
      </c>
      <c r="F66" s="203">
        <f t="shared" si="11"/>
        <v>1120166.7132679268</v>
      </c>
      <c r="G66" s="12"/>
    </row>
    <row r="67" spans="1:7" hidden="1" x14ac:dyDescent="0.25">
      <c r="A67" s="5">
        <v>46569</v>
      </c>
      <c r="B67" s="200">
        <v>0</v>
      </c>
      <c r="C67" s="12">
        <v>0</v>
      </c>
      <c r="D67" s="12"/>
      <c r="E67" s="12">
        <f t="shared" si="5"/>
        <v>0</v>
      </c>
      <c r="F67" s="201">
        <v>0</v>
      </c>
      <c r="G67" s="12"/>
    </row>
    <row r="68" spans="1:7" hidden="1" x14ac:dyDescent="0.25">
      <c r="A68" s="5">
        <v>46600</v>
      </c>
      <c r="B68" s="200">
        <v>0</v>
      </c>
      <c r="C68" s="12">
        <v>0</v>
      </c>
      <c r="D68" s="12"/>
      <c r="E68" s="12">
        <f t="shared" si="5"/>
        <v>0</v>
      </c>
      <c r="F68" s="201">
        <v>0</v>
      </c>
      <c r="G68" s="12"/>
    </row>
    <row r="69" spans="1:7" hidden="1" x14ac:dyDescent="0.25">
      <c r="A69" s="5">
        <v>46631</v>
      </c>
      <c r="B69" s="200">
        <v>0</v>
      </c>
      <c r="C69" s="12">
        <v>0</v>
      </c>
      <c r="D69" s="12"/>
      <c r="E69" s="12">
        <f t="shared" si="5"/>
        <v>0</v>
      </c>
      <c r="F69" s="201">
        <f t="shared" ref="F69:F132" si="14">+F68</f>
        <v>0</v>
      </c>
      <c r="G69" s="12"/>
    </row>
    <row r="70" spans="1:7" hidden="1" x14ac:dyDescent="0.25">
      <c r="A70" s="5">
        <v>46661</v>
      </c>
      <c r="B70" s="200">
        <v>0</v>
      </c>
      <c r="C70" s="12">
        <v>0</v>
      </c>
      <c r="D70" s="12"/>
      <c r="E70" s="12">
        <f t="shared" si="5"/>
        <v>0</v>
      </c>
      <c r="F70" s="201">
        <f t="shared" si="14"/>
        <v>0</v>
      </c>
      <c r="G70" s="12"/>
    </row>
    <row r="71" spans="1:7" hidden="1" x14ac:dyDescent="0.25">
      <c r="A71" s="5">
        <v>46692</v>
      </c>
      <c r="B71" s="200">
        <v>0</v>
      </c>
      <c r="C71" s="12">
        <v>0</v>
      </c>
      <c r="D71" s="12"/>
      <c r="E71" s="12">
        <f t="shared" si="5"/>
        <v>0</v>
      </c>
      <c r="F71" s="201">
        <f t="shared" si="14"/>
        <v>0</v>
      </c>
      <c r="G71" s="12"/>
    </row>
    <row r="72" spans="1:7" hidden="1" x14ac:dyDescent="0.25">
      <c r="A72" s="5">
        <v>46722</v>
      </c>
      <c r="B72" s="200">
        <v>0</v>
      </c>
      <c r="C72" s="12">
        <v>0</v>
      </c>
      <c r="D72" s="12"/>
      <c r="E72" s="12">
        <f t="shared" si="5"/>
        <v>0</v>
      </c>
      <c r="F72" s="201">
        <f t="shared" si="14"/>
        <v>0</v>
      </c>
      <c r="G72" s="12"/>
    </row>
    <row r="73" spans="1:7" hidden="1" x14ac:dyDescent="0.25">
      <c r="A73" s="5">
        <v>46753</v>
      </c>
      <c r="B73" s="200">
        <v>0</v>
      </c>
      <c r="C73" s="12">
        <v>0</v>
      </c>
      <c r="D73" s="12"/>
      <c r="E73" s="12">
        <f t="shared" si="5"/>
        <v>0</v>
      </c>
      <c r="F73" s="201">
        <f t="shared" si="14"/>
        <v>0</v>
      </c>
      <c r="G73" s="12"/>
    </row>
    <row r="74" spans="1:7" hidden="1" x14ac:dyDescent="0.25">
      <c r="A74" s="5">
        <v>46784</v>
      </c>
      <c r="B74" s="200">
        <v>0</v>
      </c>
      <c r="C74" s="12">
        <v>0</v>
      </c>
      <c r="D74" s="12"/>
      <c r="E74" s="12">
        <f t="shared" si="5"/>
        <v>0</v>
      </c>
      <c r="F74" s="201">
        <f t="shared" si="14"/>
        <v>0</v>
      </c>
      <c r="G74" s="12"/>
    </row>
    <row r="75" spans="1:7" hidden="1" x14ac:dyDescent="0.25">
      <c r="A75" s="5">
        <v>46813</v>
      </c>
      <c r="B75" s="200">
        <v>0</v>
      </c>
      <c r="C75" s="12">
        <v>0</v>
      </c>
      <c r="D75" s="12"/>
      <c r="E75" s="12">
        <f t="shared" si="5"/>
        <v>0</v>
      </c>
      <c r="F75" s="201">
        <f t="shared" si="14"/>
        <v>0</v>
      </c>
      <c r="G75" s="12"/>
    </row>
    <row r="76" spans="1:7" hidden="1" x14ac:dyDescent="0.25">
      <c r="A76" s="5">
        <v>46844</v>
      </c>
      <c r="B76" s="200">
        <v>0</v>
      </c>
      <c r="C76" s="12">
        <v>0</v>
      </c>
      <c r="D76" s="12"/>
      <c r="E76" s="12">
        <f t="shared" si="5"/>
        <v>0</v>
      </c>
      <c r="F76" s="201">
        <f t="shared" si="14"/>
        <v>0</v>
      </c>
      <c r="G76" s="12"/>
    </row>
    <row r="77" spans="1:7" hidden="1" x14ac:dyDescent="0.25">
      <c r="A77" s="5">
        <v>46874</v>
      </c>
      <c r="B77" s="200">
        <v>0</v>
      </c>
      <c r="C77" s="12">
        <v>0</v>
      </c>
      <c r="D77" s="12"/>
      <c r="E77" s="12">
        <f t="shared" si="5"/>
        <v>0</v>
      </c>
      <c r="F77" s="201">
        <f t="shared" si="14"/>
        <v>0</v>
      </c>
      <c r="G77" s="12"/>
    </row>
    <row r="78" spans="1:7" hidden="1" x14ac:dyDescent="0.25">
      <c r="A78" s="5">
        <v>46905</v>
      </c>
      <c r="B78" s="200">
        <v>0</v>
      </c>
      <c r="C78" s="12">
        <v>0</v>
      </c>
      <c r="D78" s="12"/>
      <c r="E78" s="12">
        <f t="shared" si="5"/>
        <v>0</v>
      </c>
      <c r="F78" s="201">
        <f t="shared" si="14"/>
        <v>0</v>
      </c>
      <c r="G78" s="12"/>
    </row>
    <row r="79" spans="1:7" hidden="1" x14ac:dyDescent="0.25">
      <c r="A79" s="5">
        <v>46935</v>
      </c>
      <c r="B79" s="200">
        <v>0</v>
      </c>
      <c r="C79" s="12">
        <v>0</v>
      </c>
      <c r="D79" s="12"/>
      <c r="E79" s="12">
        <f t="shared" si="5"/>
        <v>0</v>
      </c>
      <c r="F79" s="201">
        <f t="shared" si="14"/>
        <v>0</v>
      </c>
      <c r="G79" s="12"/>
    </row>
    <row r="80" spans="1:7" hidden="1" x14ac:dyDescent="0.25">
      <c r="A80" s="5">
        <v>46966</v>
      </c>
      <c r="B80" s="200">
        <v>0</v>
      </c>
      <c r="C80" s="12">
        <v>0</v>
      </c>
      <c r="D80" s="12"/>
      <c r="E80" s="12">
        <f t="shared" si="5"/>
        <v>0</v>
      </c>
      <c r="F80" s="201">
        <f t="shared" si="14"/>
        <v>0</v>
      </c>
      <c r="G80" s="12"/>
    </row>
    <row r="81" spans="1:7" hidden="1" x14ac:dyDescent="0.25">
      <c r="A81" s="5">
        <v>46997</v>
      </c>
      <c r="B81" s="200">
        <v>0</v>
      </c>
      <c r="C81" s="12">
        <v>0</v>
      </c>
      <c r="D81" s="12"/>
      <c r="E81" s="12">
        <f t="shared" si="5"/>
        <v>0</v>
      </c>
      <c r="F81" s="201">
        <f t="shared" si="14"/>
        <v>0</v>
      </c>
      <c r="G81" s="12"/>
    </row>
    <row r="82" spans="1:7" hidden="1" x14ac:dyDescent="0.25">
      <c r="A82" s="5">
        <v>47027</v>
      </c>
      <c r="B82" s="200">
        <v>0</v>
      </c>
      <c r="C82" s="12">
        <v>0</v>
      </c>
      <c r="D82" s="12"/>
      <c r="E82" s="12">
        <f t="shared" si="5"/>
        <v>0</v>
      </c>
      <c r="F82" s="201">
        <f t="shared" si="14"/>
        <v>0</v>
      </c>
      <c r="G82" s="12"/>
    </row>
    <row r="83" spans="1:7" hidden="1" x14ac:dyDescent="0.25">
      <c r="A83" s="5">
        <v>47058</v>
      </c>
      <c r="B83" s="200">
        <v>0</v>
      </c>
      <c r="C83" s="12">
        <v>0</v>
      </c>
      <c r="D83" s="12"/>
      <c r="E83" s="12">
        <f t="shared" si="5"/>
        <v>0</v>
      </c>
      <c r="F83" s="201">
        <f t="shared" si="14"/>
        <v>0</v>
      </c>
      <c r="G83" s="12"/>
    </row>
    <row r="84" spans="1:7" hidden="1" x14ac:dyDescent="0.25">
      <c r="A84" s="5">
        <v>47088</v>
      </c>
      <c r="B84" s="200">
        <v>0</v>
      </c>
      <c r="C84" s="12">
        <v>0</v>
      </c>
      <c r="D84" s="12"/>
      <c r="E84" s="12">
        <f t="shared" si="5"/>
        <v>0</v>
      </c>
      <c r="F84" s="201">
        <f t="shared" si="14"/>
        <v>0</v>
      </c>
      <c r="G84" s="12"/>
    </row>
    <row r="85" spans="1:7" hidden="1" x14ac:dyDescent="0.25">
      <c r="A85" s="5">
        <v>47119</v>
      </c>
      <c r="B85" s="200">
        <v>0</v>
      </c>
      <c r="C85" s="12">
        <v>0</v>
      </c>
      <c r="D85" s="12"/>
      <c r="E85" s="12">
        <f t="shared" si="5"/>
        <v>0</v>
      </c>
      <c r="F85" s="201">
        <f t="shared" si="14"/>
        <v>0</v>
      </c>
      <c r="G85" s="12"/>
    </row>
    <row r="86" spans="1:7" hidden="1" x14ac:dyDescent="0.25">
      <c r="A86" s="5">
        <v>47150</v>
      </c>
      <c r="B86" s="200">
        <v>0</v>
      </c>
      <c r="C86" s="12">
        <v>0</v>
      </c>
      <c r="D86" s="12"/>
      <c r="E86" s="12">
        <f t="shared" si="5"/>
        <v>0</v>
      </c>
      <c r="F86" s="201">
        <f t="shared" si="14"/>
        <v>0</v>
      </c>
      <c r="G86" s="12"/>
    </row>
    <row r="87" spans="1:7" hidden="1" x14ac:dyDescent="0.25">
      <c r="A87" s="5">
        <v>47178</v>
      </c>
      <c r="B87" s="200">
        <v>0</v>
      </c>
      <c r="C87" s="12">
        <v>0</v>
      </c>
      <c r="D87" s="12"/>
      <c r="E87" s="12">
        <f t="shared" si="5"/>
        <v>0</v>
      </c>
      <c r="F87" s="201">
        <f t="shared" si="14"/>
        <v>0</v>
      </c>
      <c r="G87" s="12"/>
    </row>
    <row r="88" spans="1:7" hidden="1" x14ac:dyDescent="0.25">
      <c r="A88" s="5">
        <v>47209</v>
      </c>
      <c r="B88" s="200">
        <v>0</v>
      </c>
      <c r="C88" s="12">
        <v>0</v>
      </c>
      <c r="D88" s="12"/>
      <c r="E88" s="12">
        <f t="shared" si="5"/>
        <v>0</v>
      </c>
      <c r="F88" s="201">
        <f t="shared" si="14"/>
        <v>0</v>
      </c>
      <c r="G88" s="12"/>
    </row>
    <row r="89" spans="1:7" hidden="1" x14ac:dyDescent="0.25">
      <c r="A89" s="5">
        <v>47239</v>
      </c>
      <c r="B89" s="200">
        <v>0</v>
      </c>
      <c r="C89" s="12">
        <v>0</v>
      </c>
      <c r="D89" s="12"/>
      <c r="E89" s="12">
        <f t="shared" si="5"/>
        <v>0</v>
      </c>
      <c r="F89" s="201">
        <f t="shared" si="14"/>
        <v>0</v>
      </c>
      <c r="G89" s="12"/>
    </row>
    <row r="90" spans="1:7" hidden="1" x14ac:dyDescent="0.25">
      <c r="A90" s="5">
        <v>47270</v>
      </c>
      <c r="B90" s="200">
        <v>0</v>
      </c>
      <c r="C90" s="12">
        <v>0</v>
      </c>
      <c r="D90" s="12"/>
      <c r="E90" s="12">
        <f t="shared" si="5"/>
        <v>0</v>
      </c>
      <c r="F90" s="201">
        <f t="shared" si="14"/>
        <v>0</v>
      </c>
      <c r="G90" s="12"/>
    </row>
    <row r="91" spans="1:7" hidden="1" x14ac:dyDescent="0.25">
      <c r="A91" s="5">
        <v>47300</v>
      </c>
      <c r="B91" s="200">
        <v>0</v>
      </c>
      <c r="C91" s="12">
        <v>0</v>
      </c>
      <c r="D91" s="12"/>
      <c r="E91" s="12">
        <f t="shared" si="5"/>
        <v>0</v>
      </c>
      <c r="F91" s="201">
        <f t="shared" si="14"/>
        <v>0</v>
      </c>
      <c r="G91" s="12"/>
    </row>
    <row r="92" spans="1:7" hidden="1" x14ac:dyDescent="0.25">
      <c r="A92" s="5">
        <v>47331</v>
      </c>
      <c r="B92" s="200">
        <v>0</v>
      </c>
      <c r="C92" s="12">
        <v>0</v>
      </c>
      <c r="D92" s="12"/>
      <c r="E92" s="12">
        <f t="shared" si="5"/>
        <v>0</v>
      </c>
      <c r="F92" s="201">
        <f t="shared" si="14"/>
        <v>0</v>
      </c>
      <c r="G92" s="12"/>
    </row>
    <row r="93" spans="1:7" hidden="1" x14ac:dyDescent="0.25">
      <c r="A93" s="5">
        <v>47362</v>
      </c>
      <c r="B93" s="200">
        <v>0</v>
      </c>
      <c r="C93" s="12">
        <v>0</v>
      </c>
      <c r="D93" s="12"/>
      <c r="E93" s="12">
        <f t="shared" si="5"/>
        <v>0</v>
      </c>
      <c r="F93" s="201">
        <f t="shared" si="14"/>
        <v>0</v>
      </c>
      <c r="G93" s="12"/>
    </row>
    <row r="94" spans="1:7" hidden="1" x14ac:dyDescent="0.25">
      <c r="A94" s="5">
        <v>47392</v>
      </c>
      <c r="B94" s="200">
        <v>0</v>
      </c>
      <c r="C94" s="12">
        <v>0</v>
      </c>
      <c r="D94" s="12"/>
      <c r="E94" s="12">
        <f t="shared" si="5"/>
        <v>0</v>
      </c>
      <c r="F94" s="201">
        <f t="shared" si="14"/>
        <v>0</v>
      </c>
      <c r="G94" s="12"/>
    </row>
    <row r="95" spans="1:7" hidden="1" x14ac:dyDescent="0.25">
      <c r="A95" s="5">
        <v>47423</v>
      </c>
      <c r="B95" s="200">
        <v>0</v>
      </c>
      <c r="C95" s="12">
        <v>0</v>
      </c>
      <c r="D95" s="12"/>
      <c r="E95" s="12">
        <f t="shared" si="5"/>
        <v>0</v>
      </c>
      <c r="F95" s="201">
        <f t="shared" si="14"/>
        <v>0</v>
      </c>
      <c r="G95" s="12"/>
    </row>
    <row r="96" spans="1:7" hidden="1" x14ac:dyDescent="0.25">
      <c r="A96" s="5">
        <v>47453</v>
      </c>
      <c r="B96" s="200">
        <v>0</v>
      </c>
      <c r="C96" s="12">
        <v>0</v>
      </c>
      <c r="D96" s="12"/>
      <c r="E96" s="12">
        <f t="shared" ref="E96:E159" si="15">SUM(B96:D96)</f>
        <v>0</v>
      </c>
      <c r="F96" s="201">
        <f t="shared" si="14"/>
        <v>0</v>
      </c>
      <c r="G96" s="12"/>
    </row>
    <row r="97" spans="1:7" hidden="1" x14ac:dyDescent="0.25">
      <c r="A97" s="5">
        <v>47484</v>
      </c>
      <c r="B97" s="200">
        <v>0</v>
      </c>
      <c r="C97" s="12">
        <v>0</v>
      </c>
      <c r="D97" s="12"/>
      <c r="E97" s="12">
        <f t="shared" si="15"/>
        <v>0</v>
      </c>
      <c r="F97" s="201">
        <f t="shared" si="14"/>
        <v>0</v>
      </c>
      <c r="G97" s="12"/>
    </row>
    <row r="98" spans="1:7" hidden="1" x14ac:dyDescent="0.25">
      <c r="A98" s="5">
        <v>47515</v>
      </c>
      <c r="B98" s="200">
        <v>0</v>
      </c>
      <c r="C98" s="12">
        <v>0</v>
      </c>
      <c r="D98" s="12"/>
      <c r="E98" s="12">
        <f t="shared" si="15"/>
        <v>0</v>
      </c>
      <c r="F98" s="201">
        <f t="shared" si="14"/>
        <v>0</v>
      </c>
      <c r="G98" s="12"/>
    </row>
    <row r="99" spans="1:7" hidden="1" x14ac:dyDescent="0.25">
      <c r="A99" s="5">
        <v>47543</v>
      </c>
      <c r="B99" s="200">
        <v>0</v>
      </c>
      <c r="C99" s="12">
        <v>0</v>
      </c>
      <c r="D99" s="12"/>
      <c r="E99" s="12">
        <f t="shared" si="15"/>
        <v>0</v>
      </c>
      <c r="F99" s="201">
        <f t="shared" si="14"/>
        <v>0</v>
      </c>
      <c r="G99" s="12"/>
    </row>
    <row r="100" spans="1:7" hidden="1" x14ac:dyDescent="0.25">
      <c r="A100" s="5">
        <v>47574</v>
      </c>
      <c r="B100" s="200">
        <v>0</v>
      </c>
      <c r="C100" s="12">
        <v>0</v>
      </c>
      <c r="D100" s="12"/>
      <c r="E100" s="12">
        <f t="shared" si="15"/>
        <v>0</v>
      </c>
      <c r="F100" s="201">
        <f t="shared" si="14"/>
        <v>0</v>
      </c>
      <c r="G100" s="12"/>
    </row>
    <row r="101" spans="1:7" hidden="1" x14ac:dyDescent="0.25">
      <c r="A101" s="5">
        <v>47604</v>
      </c>
      <c r="B101" s="200">
        <v>0</v>
      </c>
      <c r="C101" s="12">
        <v>0</v>
      </c>
      <c r="D101" s="12"/>
      <c r="E101" s="12">
        <f t="shared" si="15"/>
        <v>0</v>
      </c>
      <c r="F101" s="201">
        <f t="shared" si="14"/>
        <v>0</v>
      </c>
      <c r="G101" s="12"/>
    </row>
    <row r="102" spans="1:7" hidden="1" x14ac:dyDescent="0.25">
      <c r="A102" s="5">
        <v>47635</v>
      </c>
      <c r="B102" s="200">
        <v>0</v>
      </c>
      <c r="C102" s="12">
        <v>0</v>
      </c>
      <c r="D102" s="12"/>
      <c r="E102" s="12">
        <f t="shared" si="15"/>
        <v>0</v>
      </c>
      <c r="F102" s="201">
        <f t="shared" si="14"/>
        <v>0</v>
      </c>
      <c r="G102" s="12"/>
    </row>
    <row r="103" spans="1:7" hidden="1" x14ac:dyDescent="0.25">
      <c r="A103" s="5">
        <v>47665</v>
      </c>
      <c r="B103" s="200">
        <v>0</v>
      </c>
      <c r="C103" s="12">
        <v>0</v>
      </c>
      <c r="D103" s="12"/>
      <c r="E103" s="12">
        <f t="shared" si="15"/>
        <v>0</v>
      </c>
      <c r="F103" s="201">
        <f t="shared" si="14"/>
        <v>0</v>
      </c>
      <c r="G103" s="12"/>
    </row>
    <row r="104" spans="1:7" hidden="1" x14ac:dyDescent="0.25">
      <c r="A104" s="5">
        <v>47696</v>
      </c>
      <c r="B104" s="200">
        <v>0</v>
      </c>
      <c r="C104" s="12">
        <v>0</v>
      </c>
      <c r="D104" s="12"/>
      <c r="E104" s="12">
        <f t="shared" si="15"/>
        <v>0</v>
      </c>
      <c r="F104" s="201">
        <f t="shared" si="14"/>
        <v>0</v>
      </c>
      <c r="G104" s="12"/>
    </row>
    <row r="105" spans="1:7" hidden="1" x14ac:dyDescent="0.25">
      <c r="A105" s="5">
        <v>47727</v>
      </c>
      <c r="B105" s="200">
        <v>0</v>
      </c>
      <c r="C105" s="12">
        <v>0</v>
      </c>
      <c r="D105" s="12"/>
      <c r="E105" s="12">
        <f t="shared" si="15"/>
        <v>0</v>
      </c>
      <c r="F105" s="201">
        <f t="shared" si="14"/>
        <v>0</v>
      </c>
      <c r="G105" s="12"/>
    </row>
    <row r="106" spans="1:7" hidden="1" x14ac:dyDescent="0.25">
      <c r="A106" s="5">
        <v>47757</v>
      </c>
      <c r="B106" s="200">
        <v>0</v>
      </c>
      <c r="C106" s="12">
        <v>0</v>
      </c>
      <c r="D106" s="12"/>
      <c r="E106" s="12">
        <f t="shared" si="15"/>
        <v>0</v>
      </c>
      <c r="F106" s="201">
        <f t="shared" si="14"/>
        <v>0</v>
      </c>
      <c r="G106" s="12"/>
    </row>
    <row r="107" spans="1:7" hidden="1" x14ac:dyDescent="0.25">
      <c r="A107" s="5">
        <v>47788</v>
      </c>
      <c r="B107" s="200">
        <v>0</v>
      </c>
      <c r="C107" s="12">
        <v>0</v>
      </c>
      <c r="D107" s="12"/>
      <c r="E107" s="12">
        <f t="shared" si="15"/>
        <v>0</v>
      </c>
      <c r="F107" s="201">
        <f t="shared" si="14"/>
        <v>0</v>
      </c>
      <c r="G107" s="12"/>
    </row>
    <row r="108" spans="1:7" hidden="1" x14ac:dyDescent="0.25">
      <c r="A108" s="5">
        <v>47818</v>
      </c>
      <c r="B108" s="200">
        <v>0</v>
      </c>
      <c r="C108" s="12">
        <v>0</v>
      </c>
      <c r="D108" s="12"/>
      <c r="E108" s="12">
        <f t="shared" si="15"/>
        <v>0</v>
      </c>
      <c r="F108" s="201">
        <f t="shared" si="14"/>
        <v>0</v>
      </c>
      <c r="G108" s="12"/>
    </row>
    <row r="109" spans="1:7" hidden="1" x14ac:dyDescent="0.25">
      <c r="A109" s="5">
        <v>47849</v>
      </c>
      <c r="B109" s="200">
        <v>0</v>
      </c>
      <c r="C109" s="12">
        <v>0</v>
      </c>
      <c r="D109" s="12"/>
      <c r="E109" s="12">
        <f t="shared" si="15"/>
        <v>0</v>
      </c>
      <c r="F109" s="201">
        <f t="shared" si="14"/>
        <v>0</v>
      </c>
      <c r="G109" s="12"/>
    </row>
    <row r="110" spans="1:7" hidden="1" x14ac:dyDescent="0.25">
      <c r="A110" s="5">
        <v>47880</v>
      </c>
      <c r="B110" s="200">
        <v>0</v>
      </c>
      <c r="C110" s="12">
        <v>0</v>
      </c>
      <c r="D110" s="12"/>
      <c r="E110" s="12">
        <f t="shared" si="15"/>
        <v>0</v>
      </c>
      <c r="F110" s="201">
        <f t="shared" si="14"/>
        <v>0</v>
      </c>
      <c r="G110" s="12"/>
    </row>
    <row r="111" spans="1:7" hidden="1" x14ac:dyDescent="0.25">
      <c r="A111" s="5">
        <v>47908</v>
      </c>
      <c r="B111" s="200">
        <v>0</v>
      </c>
      <c r="C111" s="12">
        <v>0</v>
      </c>
      <c r="D111" s="12"/>
      <c r="E111" s="12">
        <f t="shared" si="15"/>
        <v>0</v>
      </c>
      <c r="F111" s="201">
        <f t="shared" si="14"/>
        <v>0</v>
      </c>
      <c r="G111" s="12"/>
    </row>
    <row r="112" spans="1:7" hidden="1" x14ac:dyDescent="0.25">
      <c r="A112" s="5">
        <v>47939</v>
      </c>
      <c r="B112" s="200">
        <v>0</v>
      </c>
      <c r="C112" s="12">
        <v>0</v>
      </c>
      <c r="D112" s="12"/>
      <c r="E112" s="12">
        <f t="shared" si="15"/>
        <v>0</v>
      </c>
      <c r="F112" s="201">
        <f t="shared" si="14"/>
        <v>0</v>
      </c>
      <c r="G112" s="12"/>
    </row>
    <row r="113" spans="1:7" hidden="1" x14ac:dyDescent="0.25">
      <c r="A113" s="5">
        <v>47969</v>
      </c>
      <c r="B113" s="200">
        <v>0</v>
      </c>
      <c r="C113" s="12">
        <v>0</v>
      </c>
      <c r="D113" s="12"/>
      <c r="E113" s="12">
        <f t="shared" si="15"/>
        <v>0</v>
      </c>
      <c r="F113" s="201">
        <f t="shared" si="14"/>
        <v>0</v>
      </c>
      <c r="G113" s="12"/>
    </row>
    <row r="114" spans="1:7" hidden="1" x14ac:dyDescent="0.25">
      <c r="A114" s="5">
        <v>48000</v>
      </c>
      <c r="B114" s="200">
        <v>0</v>
      </c>
      <c r="C114" s="12">
        <v>0</v>
      </c>
      <c r="D114" s="12"/>
      <c r="E114" s="12">
        <f t="shared" si="15"/>
        <v>0</v>
      </c>
      <c r="F114" s="201">
        <f t="shared" si="14"/>
        <v>0</v>
      </c>
      <c r="G114" s="12"/>
    </row>
    <row r="115" spans="1:7" hidden="1" x14ac:dyDescent="0.25">
      <c r="A115" s="5">
        <v>48030</v>
      </c>
      <c r="B115" s="200">
        <v>0</v>
      </c>
      <c r="C115" s="12">
        <v>0</v>
      </c>
      <c r="D115" s="12"/>
      <c r="E115" s="12">
        <f t="shared" si="15"/>
        <v>0</v>
      </c>
      <c r="F115" s="201">
        <f t="shared" si="14"/>
        <v>0</v>
      </c>
      <c r="G115" s="12"/>
    </row>
    <row r="116" spans="1:7" hidden="1" x14ac:dyDescent="0.25">
      <c r="A116" s="5">
        <v>48061</v>
      </c>
      <c r="B116" s="200">
        <v>0</v>
      </c>
      <c r="C116" s="12">
        <v>0</v>
      </c>
      <c r="D116" s="12"/>
      <c r="E116" s="12">
        <f t="shared" si="15"/>
        <v>0</v>
      </c>
      <c r="F116" s="201">
        <f t="shared" si="14"/>
        <v>0</v>
      </c>
      <c r="G116" s="12"/>
    </row>
    <row r="117" spans="1:7" hidden="1" x14ac:dyDescent="0.25">
      <c r="A117" s="5">
        <v>48092</v>
      </c>
      <c r="B117" s="200">
        <v>0</v>
      </c>
      <c r="C117" s="12">
        <v>0</v>
      </c>
      <c r="D117" s="12"/>
      <c r="E117" s="12">
        <f t="shared" si="15"/>
        <v>0</v>
      </c>
      <c r="F117" s="201">
        <f t="shared" si="14"/>
        <v>0</v>
      </c>
      <c r="G117" s="12"/>
    </row>
    <row r="118" spans="1:7" hidden="1" x14ac:dyDescent="0.25">
      <c r="A118" s="5">
        <v>48122</v>
      </c>
      <c r="B118" s="200">
        <v>0</v>
      </c>
      <c r="C118" s="12">
        <v>0</v>
      </c>
      <c r="D118" s="12"/>
      <c r="E118" s="12">
        <f t="shared" si="15"/>
        <v>0</v>
      </c>
      <c r="F118" s="201">
        <f t="shared" si="14"/>
        <v>0</v>
      </c>
      <c r="G118" s="12"/>
    </row>
    <row r="119" spans="1:7" hidden="1" x14ac:dyDescent="0.25">
      <c r="A119" s="5">
        <v>48153</v>
      </c>
      <c r="B119" s="200">
        <v>0</v>
      </c>
      <c r="C119" s="12">
        <v>0</v>
      </c>
      <c r="D119" s="12"/>
      <c r="E119" s="12">
        <f t="shared" si="15"/>
        <v>0</v>
      </c>
      <c r="F119" s="201">
        <f t="shared" si="14"/>
        <v>0</v>
      </c>
      <c r="G119" s="12"/>
    </row>
    <row r="120" spans="1:7" hidden="1" x14ac:dyDescent="0.25">
      <c r="A120" s="5">
        <v>48183</v>
      </c>
      <c r="B120" s="200">
        <v>0</v>
      </c>
      <c r="C120" s="12">
        <v>0</v>
      </c>
      <c r="D120" s="12"/>
      <c r="E120" s="12">
        <f t="shared" si="15"/>
        <v>0</v>
      </c>
      <c r="F120" s="201">
        <f t="shared" si="14"/>
        <v>0</v>
      </c>
      <c r="G120" s="12"/>
    </row>
    <row r="121" spans="1:7" hidden="1" x14ac:dyDescent="0.25">
      <c r="A121" s="5">
        <v>48214</v>
      </c>
      <c r="B121" s="200">
        <v>0</v>
      </c>
      <c r="C121" s="12">
        <v>0</v>
      </c>
      <c r="D121" s="12"/>
      <c r="E121" s="12">
        <f t="shared" si="15"/>
        <v>0</v>
      </c>
      <c r="F121" s="201">
        <f t="shared" si="14"/>
        <v>0</v>
      </c>
      <c r="G121" s="12"/>
    </row>
    <row r="122" spans="1:7" hidden="1" x14ac:dyDescent="0.25">
      <c r="A122" s="5">
        <v>48245</v>
      </c>
      <c r="B122" s="200">
        <v>0</v>
      </c>
      <c r="C122" s="12">
        <v>0</v>
      </c>
      <c r="D122" s="12"/>
      <c r="E122" s="12">
        <f t="shared" si="15"/>
        <v>0</v>
      </c>
      <c r="F122" s="201">
        <f t="shared" si="14"/>
        <v>0</v>
      </c>
      <c r="G122" s="12"/>
    </row>
    <row r="123" spans="1:7" hidden="1" x14ac:dyDescent="0.25">
      <c r="A123" s="5">
        <v>48274</v>
      </c>
      <c r="B123" s="200">
        <v>0</v>
      </c>
      <c r="C123" s="12">
        <v>0</v>
      </c>
      <c r="D123" s="12"/>
      <c r="E123" s="12">
        <f t="shared" si="15"/>
        <v>0</v>
      </c>
      <c r="F123" s="201">
        <f t="shared" si="14"/>
        <v>0</v>
      </c>
      <c r="G123" s="12"/>
    </row>
    <row r="124" spans="1:7" hidden="1" x14ac:dyDescent="0.25">
      <c r="A124" s="5">
        <v>48305</v>
      </c>
      <c r="B124" s="200">
        <v>0</v>
      </c>
      <c r="C124" s="12">
        <v>0</v>
      </c>
      <c r="D124" s="12"/>
      <c r="E124" s="12">
        <f t="shared" si="15"/>
        <v>0</v>
      </c>
      <c r="F124" s="201">
        <f t="shared" si="14"/>
        <v>0</v>
      </c>
      <c r="G124" s="12"/>
    </row>
    <row r="125" spans="1:7" hidden="1" x14ac:dyDescent="0.25">
      <c r="A125" s="5">
        <v>48335</v>
      </c>
      <c r="B125" s="200">
        <v>0</v>
      </c>
      <c r="C125" s="12">
        <v>0</v>
      </c>
      <c r="D125" s="12"/>
      <c r="E125" s="12">
        <f t="shared" si="15"/>
        <v>0</v>
      </c>
      <c r="F125" s="201">
        <f t="shared" si="14"/>
        <v>0</v>
      </c>
      <c r="G125" s="12"/>
    </row>
    <row r="126" spans="1:7" hidden="1" x14ac:dyDescent="0.25">
      <c r="A126" s="5">
        <v>48366</v>
      </c>
      <c r="B126" s="200">
        <v>0</v>
      </c>
      <c r="C126" s="12">
        <v>0</v>
      </c>
      <c r="D126" s="12">
        <v>0</v>
      </c>
      <c r="E126" s="12">
        <f t="shared" si="15"/>
        <v>0</v>
      </c>
      <c r="F126" s="201">
        <f t="shared" si="14"/>
        <v>0</v>
      </c>
      <c r="G126" s="12"/>
    </row>
    <row r="127" spans="1:7" hidden="1" x14ac:dyDescent="0.25">
      <c r="A127" s="5">
        <v>48396</v>
      </c>
      <c r="B127" s="200">
        <v>0</v>
      </c>
      <c r="C127" s="12">
        <v>0</v>
      </c>
      <c r="D127" s="12">
        <v>0</v>
      </c>
      <c r="E127" s="12">
        <f t="shared" si="15"/>
        <v>0</v>
      </c>
      <c r="F127" s="201">
        <f t="shared" si="14"/>
        <v>0</v>
      </c>
      <c r="G127" s="12"/>
    </row>
    <row r="128" spans="1:7" hidden="1" x14ac:dyDescent="0.25">
      <c r="A128" s="5">
        <v>48427</v>
      </c>
      <c r="B128" s="200">
        <v>0</v>
      </c>
      <c r="C128" s="12">
        <v>0</v>
      </c>
      <c r="D128" s="12">
        <v>0</v>
      </c>
      <c r="E128" s="12">
        <f t="shared" si="15"/>
        <v>0</v>
      </c>
      <c r="F128" s="201">
        <f t="shared" si="14"/>
        <v>0</v>
      </c>
      <c r="G128" s="12"/>
    </row>
    <row r="129" spans="1:7" hidden="1" x14ac:dyDescent="0.25">
      <c r="A129" s="5">
        <v>48458</v>
      </c>
      <c r="B129" s="200">
        <v>0</v>
      </c>
      <c r="C129" s="12">
        <v>0</v>
      </c>
      <c r="D129" s="12">
        <v>0</v>
      </c>
      <c r="E129" s="12">
        <f t="shared" si="15"/>
        <v>0</v>
      </c>
      <c r="F129" s="201">
        <f t="shared" si="14"/>
        <v>0</v>
      </c>
      <c r="G129" s="12"/>
    </row>
    <row r="130" spans="1:7" hidden="1" x14ac:dyDescent="0.25">
      <c r="A130" s="5">
        <v>48488</v>
      </c>
      <c r="B130" s="200">
        <v>0</v>
      </c>
      <c r="C130" s="12">
        <v>0</v>
      </c>
      <c r="D130" s="12">
        <v>0</v>
      </c>
      <c r="E130" s="12">
        <f t="shared" si="15"/>
        <v>0</v>
      </c>
      <c r="F130" s="201">
        <f t="shared" si="14"/>
        <v>0</v>
      </c>
      <c r="G130" s="12"/>
    </row>
    <row r="131" spans="1:7" hidden="1" x14ac:dyDescent="0.25">
      <c r="A131" s="5">
        <v>48519</v>
      </c>
      <c r="B131" s="200">
        <v>0</v>
      </c>
      <c r="C131" s="12">
        <v>0</v>
      </c>
      <c r="D131" s="12">
        <v>0</v>
      </c>
      <c r="E131" s="12">
        <f t="shared" si="15"/>
        <v>0</v>
      </c>
      <c r="F131" s="201">
        <f t="shared" si="14"/>
        <v>0</v>
      </c>
      <c r="G131" s="12"/>
    </row>
    <row r="132" spans="1:7" hidden="1" x14ac:dyDescent="0.25">
      <c r="A132" s="5">
        <v>48549</v>
      </c>
      <c r="B132" s="200">
        <v>0</v>
      </c>
      <c r="C132" s="12">
        <v>0</v>
      </c>
      <c r="D132" s="12">
        <v>0</v>
      </c>
      <c r="E132" s="12">
        <f t="shared" si="15"/>
        <v>0</v>
      </c>
      <c r="F132" s="201">
        <f t="shared" si="14"/>
        <v>0</v>
      </c>
      <c r="G132" s="12"/>
    </row>
    <row r="133" spans="1:7" hidden="1" x14ac:dyDescent="0.25">
      <c r="A133" s="5">
        <v>48580</v>
      </c>
      <c r="B133" s="200">
        <v>0</v>
      </c>
      <c r="C133" s="12">
        <v>0</v>
      </c>
      <c r="D133" s="12">
        <v>0</v>
      </c>
      <c r="E133" s="12">
        <f t="shared" si="15"/>
        <v>0</v>
      </c>
      <c r="F133" s="201">
        <f t="shared" ref="F133:F162" si="16">+F132</f>
        <v>0</v>
      </c>
      <c r="G133" s="12"/>
    </row>
    <row r="134" spans="1:7" hidden="1" x14ac:dyDescent="0.25">
      <c r="A134" s="5">
        <v>48611</v>
      </c>
      <c r="B134" s="200">
        <v>0</v>
      </c>
      <c r="C134" s="12">
        <v>0</v>
      </c>
      <c r="D134" s="12">
        <v>0</v>
      </c>
      <c r="E134" s="12">
        <f t="shared" si="15"/>
        <v>0</v>
      </c>
      <c r="F134" s="201">
        <f t="shared" si="16"/>
        <v>0</v>
      </c>
      <c r="G134" s="12"/>
    </row>
    <row r="135" spans="1:7" hidden="1" x14ac:dyDescent="0.25">
      <c r="A135" s="5">
        <v>48639</v>
      </c>
      <c r="B135" s="200">
        <v>0</v>
      </c>
      <c r="C135" s="12">
        <v>0</v>
      </c>
      <c r="D135" s="12">
        <v>0</v>
      </c>
      <c r="E135" s="12">
        <f t="shared" si="15"/>
        <v>0</v>
      </c>
      <c r="F135" s="201">
        <f t="shared" si="16"/>
        <v>0</v>
      </c>
      <c r="G135" s="12"/>
    </row>
    <row r="136" spans="1:7" hidden="1" x14ac:dyDescent="0.25">
      <c r="A136" s="5">
        <v>48670</v>
      </c>
      <c r="B136" s="200">
        <v>0</v>
      </c>
      <c r="C136" s="12">
        <v>0</v>
      </c>
      <c r="D136" s="12">
        <v>0</v>
      </c>
      <c r="E136" s="12">
        <f t="shared" si="15"/>
        <v>0</v>
      </c>
      <c r="F136" s="201">
        <f t="shared" si="16"/>
        <v>0</v>
      </c>
      <c r="G136" s="12"/>
    </row>
    <row r="137" spans="1:7" hidden="1" x14ac:dyDescent="0.25">
      <c r="A137" s="5">
        <v>48700</v>
      </c>
      <c r="B137" s="200">
        <v>0</v>
      </c>
      <c r="C137" s="12">
        <v>0</v>
      </c>
      <c r="D137" s="12">
        <v>0</v>
      </c>
      <c r="E137" s="12">
        <f t="shared" si="15"/>
        <v>0</v>
      </c>
      <c r="F137" s="201">
        <f t="shared" si="16"/>
        <v>0</v>
      </c>
      <c r="G137" s="12"/>
    </row>
    <row r="138" spans="1:7" hidden="1" x14ac:dyDescent="0.25">
      <c r="A138" s="5">
        <v>48731</v>
      </c>
      <c r="B138" s="200">
        <v>0</v>
      </c>
      <c r="C138" s="12">
        <v>0</v>
      </c>
      <c r="D138" s="12">
        <v>0</v>
      </c>
      <c r="E138" s="12">
        <f t="shared" si="15"/>
        <v>0</v>
      </c>
      <c r="F138" s="201">
        <f t="shared" si="16"/>
        <v>0</v>
      </c>
      <c r="G138" s="12"/>
    </row>
    <row r="139" spans="1:7" hidden="1" x14ac:dyDescent="0.25">
      <c r="A139" s="5">
        <v>48761</v>
      </c>
      <c r="B139" s="200">
        <v>0</v>
      </c>
      <c r="C139" s="12">
        <v>0</v>
      </c>
      <c r="D139" s="12">
        <v>0</v>
      </c>
      <c r="E139" s="12">
        <f t="shared" si="15"/>
        <v>0</v>
      </c>
      <c r="F139" s="201">
        <f t="shared" si="16"/>
        <v>0</v>
      </c>
      <c r="G139" s="12"/>
    </row>
    <row r="140" spans="1:7" hidden="1" x14ac:dyDescent="0.25">
      <c r="A140" s="5">
        <v>48792</v>
      </c>
      <c r="B140" s="200">
        <v>0</v>
      </c>
      <c r="C140" s="12">
        <v>0</v>
      </c>
      <c r="D140" s="12">
        <v>0</v>
      </c>
      <c r="E140" s="12">
        <f t="shared" si="15"/>
        <v>0</v>
      </c>
      <c r="F140" s="201">
        <f t="shared" si="16"/>
        <v>0</v>
      </c>
      <c r="G140" s="12"/>
    </row>
    <row r="141" spans="1:7" hidden="1" x14ac:dyDescent="0.25">
      <c r="A141" s="5">
        <v>48823</v>
      </c>
      <c r="B141" s="200">
        <v>0</v>
      </c>
      <c r="C141" s="12">
        <v>0</v>
      </c>
      <c r="D141" s="12">
        <v>0</v>
      </c>
      <c r="E141" s="12">
        <f t="shared" si="15"/>
        <v>0</v>
      </c>
      <c r="F141" s="201">
        <f t="shared" si="16"/>
        <v>0</v>
      </c>
      <c r="G141" s="12"/>
    </row>
    <row r="142" spans="1:7" hidden="1" x14ac:dyDescent="0.25">
      <c r="A142" s="5">
        <v>48853</v>
      </c>
      <c r="B142" s="200">
        <v>0</v>
      </c>
      <c r="C142" s="12">
        <v>0</v>
      </c>
      <c r="D142" s="12">
        <v>0</v>
      </c>
      <c r="E142" s="12">
        <f t="shared" si="15"/>
        <v>0</v>
      </c>
      <c r="F142" s="201">
        <f t="shared" si="16"/>
        <v>0</v>
      </c>
      <c r="G142" s="12"/>
    </row>
    <row r="143" spans="1:7" hidden="1" x14ac:dyDescent="0.25">
      <c r="A143" s="5">
        <v>48884</v>
      </c>
      <c r="B143" s="200">
        <v>0</v>
      </c>
      <c r="C143" s="12">
        <v>0</v>
      </c>
      <c r="D143" s="12">
        <v>0</v>
      </c>
      <c r="E143" s="12">
        <f t="shared" si="15"/>
        <v>0</v>
      </c>
      <c r="F143" s="201">
        <f t="shared" si="16"/>
        <v>0</v>
      </c>
      <c r="G143" s="12"/>
    </row>
    <row r="144" spans="1:7" hidden="1" x14ac:dyDescent="0.25">
      <c r="A144" s="5">
        <v>48914</v>
      </c>
      <c r="B144" s="200">
        <v>0</v>
      </c>
      <c r="C144" s="12">
        <v>0</v>
      </c>
      <c r="D144" s="12">
        <v>0</v>
      </c>
      <c r="E144" s="12">
        <f t="shared" si="15"/>
        <v>0</v>
      </c>
      <c r="F144" s="201">
        <f t="shared" si="16"/>
        <v>0</v>
      </c>
      <c r="G144" s="12"/>
    </row>
    <row r="145" spans="1:7" hidden="1" x14ac:dyDescent="0.25">
      <c r="A145" s="5">
        <v>48945</v>
      </c>
      <c r="B145" s="200">
        <v>0</v>
      </c>
      <c r="C145" s="12">
        <v>0</v>
      </c>
      <c r="D145" s="12">
        <v>0</v>
      </c>
      <c r="E145" s="12">
        <f t="shared" si="15"/>
        <v>0</v>
      </c>
      <c r="F145" s="201">
        <f t="shared" si="16"/>
        <v>0</v>
      </c>
      <c r="G145" s="12"/>
    </row>
    <row r="146" spans="1:7" hidden="1" x14ac:dyDescent="0.25">
      <c r="A146" s="5">
        <v>48976</v>
      </c>
      <c r="B146" s="200">
        <v>0</v>
      </c>
      <c r="C146" s="12">
        <v>0</v>
      </c>
      <c r="D146" s="12">
        <v>0</v>
      </c>
      <c r="E146" s="12">
        <f t="shared" si="15"/>
        <v>0</v>
      </c>
      <c r="F146" s="201">
        <f t="shared" si="16"/>
        <v>0</v>
      </c>
      <c r="G146" s="12"/>
    </row>
    <row r="147" spans="1:7" hidden="1" x14ac:dyDescent="0.25">
      <c r="A147" s="5">
        <v>49004</v>
      </c>
      <c r="B147" s="200">
        <v>0</v>
      </c>
      <c r="C147" s="12">
        <v>0</v>
      </c>
      <c r="D147" s="12">
        <v>0</v>
      </c>
      <c r="E147" s="12">
        <f t="shared" si="15"/>
        <v>0</v>
      </c>
      <c r="F147" s="201">
        <f t="shared" si="16"/>
        <v>0</v>
      </c>
      <c r="G147" s="12"/>
    </row>
    <row r="148" spans="1:7" hidden="1" x14ac:dyDescent="0.25">
      <c r="A148" s="5">
        <v>49035</v>
      </c>
      <c r="B148" s="200">
        <v>0</v>
      </c>
      <c r="C148" s="12">
        <v>0</v>
      </c>
      <c r="D148" s="12">
        <v>0</v>
      </c>
      <c r="E148" s="12">
        <f t="shared" si="15"/>
        <v>0</v>
      </c>
      <c r="F148" s="201">
        <f t="shared" si="16"/>
        <v>0</v>
      </c>
      <c r="G148" s="12"/>
    </row>
    <row r="149" spans="1:7" hidden="1" x14ac:dyDescent="0.25">
      <c r="A149" s="5">
        <v>49065</v>
      </c>
      <c r="B149" s="200">
        <v>0</v>
      </c>
      <c r="C149" s="12">
        <v>0</v>
      </c>
      <c r="D149" s="12">
        <v>0</v>
      </c>
      <c r="E149" s="12">
        <f t="shared" si="15"/>
        <v>0</v>
      </c>
      <c r="F149" s="201">
        <f t="shared" si="16"/>
        <v>0</v>
      </c>
      <c r="G149" s="12"/>
    </row>
    <row r="150" spans="1:7" hidden="1" x14ac:dyDescent="0.25">
      <c r="A150" s="5">
        <v>49096</v>
      </c>
      <c r="B150" s="200">
        <v>0</v>
      </c>
      <c r="C150" s="12">
        <v>0</v>
      </c>
      <c r="D150" s="12">
        <v>0</v>
      </c>
      <c r="E150" s="12">
        <f t="shared" si="15"/>
        <v>0</v>
      </c>
      <c r="F150" s="201">
        <f t="shared" si="16"/>
        <v>0</v>
      </c>
      <c r="G150" s="12"/>
    </row>
    <row r="151" spans="1:7" hidden="1" x14ac:dyDescent="0.25">
      <c r="A151" s="5">
        <v>49126</v>
      </c>
      <c r="B151" s="200">
        <v>0</v>
      </c>
      <c r="C151" s="12">
        <v>0</v>
      </c>
      <c r="D151" s="12">
        <v>0</v>
      </c>
      <c r="E151" s="12">
        <f t="shared" si="15"/>
        <v>0</v>
      </c>
      <c r="F151" s="201">
        <f t="shared" si="16"/>
        <v>0</v>
      </c>
      <c r="G151" s="12"/>
    </row>
    <row r="152" spans="1:7" hidden="1" x14ac:dyDescent="0.25">
      <c r="A152" s="5">
        <v>49157</v>
      </c>
      <c r="B152" s="200">
        <v>0</v>
      </c>
      <c r="C152" s="12">
        <v>0</v>
      </c>
      <c r="D152" s="12">
        <v>0</v>
      </c>
      <c r="E152" s="12">
        <f t="shared" si="15"/>
        <v>0</v>
      </c>
      <c r="F152" s="201">
        <f t="shared" si="16"/>
        <v>0</v>
      </c>
      <c r="G152" s="12"/>
    </row>
    <row r="153" spans="1:7" hidden="1" x14ac:dyDescent="0.25">
      <c r="A153" s="5">
        <v>49188</v>
      </c>
      <c r="B153" s="200">
        <v>0</v>
      </c>
      <c r="C153" s="12">
        <v>0</v>
      </c>
      <c r="D153" s="12">
        <v>0</v>
      </c>
      <c r="E153" s="12">
        <f t="shared" si="15"/>
        <v>0</v>
      </c>
      <c r="F153" s="201">
        <f t="shared" si="16"/>
        <v>0</v>
      </c>
      <c r="G153" s="12"/>
    </row>
    <row r="154" spans="1:7" hidden="1" x14ac:dyDescent="0.25">
      <c r="A154" s="5">
        <v>49218</v>
      </c>
      <c r="B154" s="200">
        <v>0</v>
      </c>
      <c r="C154" s="12">
        <v>0</v>
      </c>
      <c r="D154" s="12">
        <v>0</v>
      </c>
      <c r="E154" s="12">
        <f t="shared" si="15"/>
        <v>0</v>
      </c>
      <c r="F154" s="201">
        <f t="shared" si="16"/>
        <v>0</v>
      </c>
      <c r="G154" s="12"/>
    </row>
    <row r="155" spans="1:7" hidden="1" x14ac:dyDescent="0.25">
      <c r="A155" s="5">
        <v>49249</v>
      </c>
      <c r="B155" s="200">
        <v>0</v>
      </c>
      <c r="C155" s="12">
        <v>0</v>
      </c>
      <c r="D155" s="12">
        <v>0</v>
      </c>
      <c r="E155" s="12">
        <f t="shared" si="15"/>
        <v>0</v>
      </c>
      <c r="F155" s="201">
        <f t="shared" si="16"/>
        <v>0</v>
      </c>
      <c r="G155" s="12"/>
    </row>
    <row r="156" spans="1:7" hidden="1" x14ac:dyDescent="0.25">
      <c r="A156" s="5">
        <v>49279</v>
      </c>
      <c r="B156" s="200">
        <v>0</v>
      </c>
      <c r="C156" s="12">
        <v>0</v>
      </c>
      <c r="D156" s="12">
        <v>0</v>
      </c>
      <c r="E156" s="12">
        <f t="shared" si="15"/>
        <v>0</v>
      </c>
      <c r="F156" s="201">
        <f t="shared" si="16"/>
        <v>0</v>
      </c>
      <c r="G156" s="12"/>
    </row>
    <row r="157" spans="1:7" hidden="1" x14ac:dyDescent="0.25">
      <c r="A157" s="5">
        <v>49310</v>
      </c>
      <c r="B157" s="200">
        <v>0</v>
      </c>
      <c r="C157" s="12">
        <v>0</v>
      </c>
      <c r="D157" s="12">
        <v>0</v>
      </c>
      <c r="E157" s="12">
        <f t="shared" si="15"/>
        <v>0</v>
      </c>
      <c r="F157" s="201">
        <f t="shared" si="16"/>
        <v>0</v>
      </c>
      <c r="G157" s="12"/>
    </row>
    <row r="158" spans="1:7" hidden="1" x14ac:dyDescent="0.25">
      <c r="A158" s="5">
        <v>49341</v>
      </c>
      <c r="B158" s="200">
        <v>0</v>
      </c>
      <c r="C158" s="12">
        <v>0</v>
      </c>
      <c r="D158" s="12">
        <v>0</v>
      </c>
      <c r="E158" s="12">
        <f t="shared" si="15"/>
        <v>0</v>
      </c>
      <c r="F158" s="201">
        <f t="shared" si="16"/>
        <v>0</v>
      </c>
      <c r="G158" s="12"/>
    </row>
    <row r="159" spans="1:7" hidden="1" x14ac:dyDescent="0.25">
      <c r="A159" s="5">
        <v>49369</v>
      </c>
      <c r="B159" s="200">
        <v>0</v>
      </c>
      <c r="C159" s="12">
        <v>0</v>
      </c>
      <c r="D159" s="12">
        <v>0</v>
      </c>
      <c r="E159" s="12">
        <f t="shared" si="15"/>
        <v>0</v>
      </c>
      <c r="F159" s="201">
        <f t="shared" si="16"/>
        <v>0</v>
      </c>
      <c r="G159" s="12"/>
    </row>
    <row r="160" spans="1:7" hidden="1" x14ac:dyDescent="0.25">
      <c r="A160" s="5">
        <v>49400</v>
      </c>
      <c r="B160" s="200">
        <v>0</v>
      </c>
      <c r="C160" s="12">
        <v>0</v>
      </c>
      <c r="D160" s="12">
        <v>0</v>
      </c>
      <c r="E160" s="12">
        <f>SUM(B160:D160)</f>
        <v>0</v>
      </c>
      <c r="F160" s="201">
        <f t="shared" si="16"/>
        <v>0</v>
      </c>
      <c r="G160" s="12"/>
    </row>
    <row r="161" spans="1:7" hidden="1" x14ac:dyDescent="0.25">
      <c r="A161" s="5">
        <v>49430</v>
      </c>
      <c r="B161" s="200">
        <v>0</v>
      </c>
      <c r="C161" s="12">
        <v>0</v>
      </c>
      <c r="D161" s="12">
        <v>0</v>
      </c>
      <c r="E161" s="12">
        <f>SUM(B161:D161)</f>
        <v>0</v>
      </c>
      <c r="F161" s="201">
        <f t="shared" si="16"/>
        <v>0</v>
      </c>
      <c r="G161" s="12"/>
    </row>
    <row r="162" spans="1:7" ht="17.25" hidden="1" x14ac:dyDescent="0.4">
      <c r="A162" s="5">
        <v>49461</v>
      </c>
      <c r="B162" s="207">
        <v>0</v>
      </c>
      <c r="C162" s="184">
        <v>0</v>
      </c>
      <c r="D162" s="184">
        <v>0</v>
      </c>
      <c r="E162" s="184">
        <f>SUM(B162:D162)</f>
        <v>0</v>
      </c>
      <c r="F162" s="208">
        <f t="shared" si="16"/>
        <v>0</v>
      </c>
      <c r="G162" s="184"/>
    </row>
    <row r="163" spans="1:7" ht="15.75" thickBot="1" x14ac:dyDescent="0.3">
      <c r="A163" s="72" t="s">
        <v>15</v>
      </c>
      <c r="B163" s="209">
        <f>SUM(B31:B161)</f>
        <v>415988637.69083923</v>
      </c>
      <c r="C163" s="210">
        <f>SUM(C31:C161)</f>
        <v>148172093.95901835</v>
      </c>
      <c r="D163" s="210">
        <f>SUM(D31:D161)</f>
        <v>176688018.99095774</v>
      </c>
      <c r="E163" s="210">
        <f>SUM(E31:E161)</f>
        <v>740848750.6408155</v>
      </c>
      <c r="F163" s="211">
        <f>SUM(F31:F161)</f>
        <v>33092411.15761194</v>
      </c>
      <c r="G163" s="8"/>
    </row>
    <row r="165" spans="1:7" x14ac:dyDescent="0.25">
      <c r="D165" s="6"/>
      <c r="E165" s="6"/>
      <c r="F165" s="8"/>
      <c r="G165" s="8"/>
    </row>
    <row r="166" spans="1:7" x14ac:dyDescent="0.25">
      <c r="D166" s="6"/>
      <c r="E166" s="6"/>
      <c r="F166" s="8"/>
      <c r="G166" s="8"/>
    </row>
    <row r="167" spans="1:7" x14ac:dyDescent="0.25">
      <c r="D167" s="6"/>
      <c r="E167" s="6"/>
      <c r="F167" s="8"/>
      <c r="G167" s="8"/>
    </row>
    <row r="168" spans="1:7" x14ac:dyDescent="0.25">
      <c r="D168" s="6"/>
      <c r="E168" s="6"/>
      <c r="F168" s="8"/>
      <c r="G168" s="8"/>
    </row>
    <row r="169" spans="1:7" x14ac:dyDescent="0.25">
      <c r="D169" s="6"/>
      <c r="E169" s="6"/>
      <c r="F169" s="8"/>
      <c r="G169" s="8"/>
    </row>
    <row r="170" spans="1:7" x14ac:dyDescent="0.25">
      <c r="D170" s="6"/>
      <c r="E170" s="6"/>
      <c r="F170" s="8"/>
      <c r="G170" s="8"/>
    </row>
    <row r="172" spans="1:7" x14ac:dyDescent="0.25">
      <c r="D172" s="6"/>
      <c r="E172" s="6"/>
      <c r="F172" s="8"/>
      <c r="G172" s="8"/>
    </row>
    <row r="173" spans="1:7" x14ac:dyDescent="0.25">
      <c r="D173" s="6"/>
      <c r="E173" s="6"/>
      <c r="F173" s="8"/>
      <c r="G173" s="8"/>
    </row>
  </sheetData>
  <mergeCells count="2">
    <mergeCell ref="B8:F8"/>
    <mergeCell ref="B27:F2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57D2-63EE-4879-B4AD-D5C4BE9551D0}">
  <sheetPr>
    <tabColor rgb="FF00FF00"/>
  </sheetPr>
  <dimension ref="A1:AK354"/>
  <sheetViews>
    <sheetView workbookViewId="0">
      <pane xSplit="2" ySplit="14" topLeftCell="C15" activePane="bottomRight" state="frozen"/>
      <selection pane="topRight" activeCell="B1" sqref="B1"/>
      <selection pane="bottomLeft" activeCell="A15" sqref="A15"/>
      <selection pane="bottomRight" activeCell="N33" sqref="N33"/>
    </sheetView>
  </sheetViews>
  <sheetFormatPr defaultRowHeight="15" x14ac:dyDescent="0.25"/>
  <cols>
    <col min="2" max="2" width="12.85546875" customWidth="1"/>
    <col min="3" max="3" width="13.7109375" customWidth="1"/>
    <col min="4" max="4" width="16.28515625" bestFit="1" customWidth="1"/>
    <col min="5" max="5" width="16" customWidth="1"/>
    <col min="6" max="6" width="18" bestFit="1" customWidth="1"/>
    <col min="7" max="7" width="16.85546875" bestFit="1" customWidth="1"/>
    <col min="8" max="8" width="18.140625" bestFit="1" customWidth="1"/>
    <col min="9" max="10" width="13.7109375" customWidth="1"/>
    <col min="11" max="11" width="15.7109375" bestFit="1" customWidth="1"/>
    <col min="12" max="13" width="15.28515625" bestFit="1" customWidth="1"/>
    <col min="14" max="14" width="13.7109375" customWidth="1"/>
    <col min="15" max="15" width="15.7109375" customWidth="1"/>
    <col min="16" max="16" width="17" style="2" customWidth="1"/>
    <col min="17" max="18" width="14.28515625" style="2" customWidth="1"/>
    <col min="19" max="19" width="14.7109375" style="2" customWidth="1"/>
    <col min="20" max="20" width="15.28515625" style="2" bestFit="1" customWidth="1"/>
    <col min="21" max="21" width="9.140625" style="2"/>
    <col min="22" max="22" width="12.28515625" style="2" bestFit="1" customWidth="1"/>
    <col min="23" max="23" width="15.7109375" style="2" customWidth="1"/>
    <col min="27" max="27" width="13.5703125" bestFit="1" customWidth="1"/>
    <col min="32" max="32" width="12.5703125" bestFit="1" customWidth="1"/>
    <col min="33" max="34" width="13.42578125" bestFit="1" customWidth="1"/>
    <col min="35" max="35" width="16" bestFit="1" customWidth="1"/>
    <col min="36" max="37" width="13.42578125" bestFit="1" customWidth="1"/>
  </cols>
  <sheetData>
    <row r="1" spans="2:37" ht="18.75" x14ac:dyDescent="0.3">
      <c r="B1" s="79" t="s">
        <v>95</v>
      </c>
      <c r="O1" s="373">
        <f>F23</f>
        <v>999128.18</v>
      </c>
      <c r="S1" s="150"/>
      <c r="T1" s="146" t="s">
        <v>480</v>
      </c>
    </row>
    <row r="2" spans="2:37" ht="18.75" x14ac:dyDescent="0.3">
      <c r="B2" s="79" t="s">
        <v>276</v>
      </c>
      <c r="H2">
        <v>2518939.7600000002</v>
      </c>
      <c r="O2" s="81">
        <f>F23*0.2811</f>
        <v>280854.93139800004</v>
      </c>
      <c r="Q2" s="2">
        <v>2669566.5077650002</v>
      </c>
      <c r="S2" s="82"/>
      <c r="T2"/>
    </row>
    <row r="3" spans="2:37" ht="18.75" x14ac:dyDescent="0.3">
      <c r="B3" s="79" t="s">
        <v>277</v>
      </c>
      <c r="H3" s="13">
        <f>G23-H2</f>
        <v>1029794.94</v>
      </c>
      <c r="O3" s="8">
        <f>O1-O2</f>
        <v>718273.24860200007</v>
      </c>
      <c r="Q3" s="372">
        <f>Q23-Q2</f>
        <v>342334.07588102249</v>
      </c>
      <c r="S3" s="83"/>
      <c r="T3" s="23" t="s">
        <v>278</v>
      </c>
    </row>
    <row r="4" spans="2:37" ht="15.75" thickBot="1" x14ac:dyDescent="0.3">
      <c r="O4" s="8"/>
      <c r="P4" s="83"/>
      <c r="Q4" s="83"/>
      <c r="R4" s="83"/>
      <c r="S4" s="83"/>
      <c r="T4" s="84"/>
    </row>
    <row r="5" spans="2:37" ht="15.75" x14ac:dyDescent="0.25">
      <c r="B5" s="85" t="s">
        <v>279</v>
      </c>
      <c r="C5" s="86"/>
      <c r="D5" s="87"/>
      <c r="E5" s="88" t="s">
        <v>280</v>
      </c>
      <c r="F5" s="88">
        <v>10</v>
      </c>
      <c r="O5" s="89"/>
      <c r="P5" s="83"/>
      <c r="Q5" s="83"/>
      <c r="R5" s="83"/>
      <c r="AF5" s="8"/>
      <c r="AG5" s="13"/>
      <c r="AH5" s="13"/>
      <c r="AI5" s="13"/>
      <c r="AJ5" s="13"/>
      <c r="AK5" s="13"/>
    </row>
    <row r="6" spans="2:37" ht="15.75" x14ac:dyDescent="0.25">
      <c r="B6" s="90" t="s">
        <v>281</v>
      </c>
      <c r="C6" s="90"/>
      <c r="E6" s="91"/>
      <c r="F6" s="251">
        <f>'CAP-1 WACC'!F16</f>
        <v>7.6083333333333324E-3</v>
      </c>
      <c r="O6" s="14"/>
      <c r="P6" s="83"/>
      <c r="Q6" s="83"/>
      <c r="R6" s="83"/>
      <c r="AF6" s="8"/>
      <c r="AG6" s="13"/>
      <c r="AH6" s="13"/>
      <c r="AI6" s="13"/>
      <c r="AJ6" s="13"/>
      <c r="AK6" s="13"/>
    </row>
    <row r="7" spans="2:37" ht="15.75" thickBot="1" x14ac:dyDescent="0.3">
      <c r="B7" s="93" t="s">
        <v>282</v>
      </c>
      <c r="C7" s="93"/>
      <c r="D7" s="94"/>
      <c r="E7" s="95"/>
      <c r="F7" s="96">
        <f>'CAP-1 WACC'!C18</f>
        <v>0.28110000000000002</v>
      </c>
      <c r="P7" s="83"/>
      <c r="Q7" s="83"/>
      <c r="R7" s="83"/>
      <c r="AF7" s="8"/>
      <c r="AG7" s="13"/>
      <c r="AH7" s="13"/>
      <c r="AI7" s="13"/>
      <c r="AJ7" s="13"/>
      <c r="AK7" s="13"/>
    </row>
    <row r="8" spans="2:37" x14ac:dyDescent="0.25">
      <c r="D8" s="89"/>
      <c r="AF8" s="8"/>
      <c r="AG8" s="13"/>
      <c r="AH8" s="13"/>
      <c r="AI8" s="13"/>
      <c r="AJ8" s="13"/>
      <c r="AK8" s="13"/>
    </row>
    <row r="9" spans="2:37" x14ac:dyDescent="0.25">
      <c r="C9" s="97">
        <v>-1</v>
      </c>
      <c r="D9" s="97">
        <f>C9-1</f>
        <v>-2</v>
      </c>
      <c r="E9" s="97">
        <f t="shared" ref="E9:T9" si="0">D9-1</f>
        <v>-3</v>
      </c>
      <c r="F9" s="97">
        <f t="shared" si="0"/>
        <v>-4</v>
      </c>
      <c r="G9" s="97">
        <f t="shared" si="0"/>
        <v>-5</v>
      </c>
      <c r="H9" s="97">
        <f t="shared" si="0"/>
        <v>-6</v>
      </c>
      <c r="I9" s="97">
        <f t="shared" si="0"/>
        <v>-7</v>
      </c>
      <c r="J9" s="97">
        <f t="shared" si="0"/>
        <v>-8</v>
      </c>
      <c r="K9" s="97">
        <f t="shared" si="0"/>
        <v>-9</v>
      </c>
      <c r="L9" s="97">
        <f t="shared" si="0"/>
        <v>-10</v>
      </c>
      <c r="M9" s="97">
        <f t="shared" si="0"/>
        <v>-11</v>
      </c>
      <c r="N9" s="97">
        <f t="shared" si="0"/>
        <v>-12</v>
      </c>
      <c r="O9" s="97">
        <f t="shared" si="0"/>
        <v>-13</v>
      </c>
      <c r="P9" s="97">
        <f t="shared" si="0"/>
        <v>-14</v>
      </c>
      <c r="Q9" s="97">
        <f t="shared" si="0"/>
        <v>-15</v>
      </c>
      <c r="R9" s="97">
        <f t="shared" si="0"/>
        <v>-16</v>
      </c>
      <c r="S9" s="97">
        <f t="shared" si="0"/>
        <v>-17</v>
      </c>
      <c r="T9" s="97">
        <f t="shared" si="0"/>
        <v>-18</v>
      </c>
      <c r="AF9" s="8"/>
      <c r="AG9" s="8"/>
      <c r="AH9" s="8"/>
      <c r="AI9" s="8"/>
      <c r="AJ9" s="8"/>
      <c r="AK9" s="8"/>
    </row>
    <row r="10" spans="2:37" x14ac:dyDescent="0.25">
      <c r="O10" s="2" t="s">
        <v>58</v>
      </c>
      <c r="P10" s="2" t="s">
        <v>50</v>
      </c>
    </row>
    <row r="11" spans="2:37" s="44" customFormat="1" ht="15.75" x14ac:dyDescent="0.25">
      <c r="B11" s="2"/>
      <c r="C11" s="2"/>
      <c r="D11" s="2"/>
      <c r="E11" s="2" t="s">
        <v>15</v>
      </c>
      <c r="F11" s="2"/>
      <c r="G11" s="2"/>
      <c r="H11" s="2" t="s">
        <v>28</v>
      </c>
      <c r="I11" s="2" t="s">
        <v>283</v>
      </c>
      <c r="J11" s="2"/>
      <c r="K11" s="2"/>
      <c r="L11" s="2"/>
      <c r="M11" s="2" t="s">
        <v>284</v>
      </c>
      <c r="N11" s="2"/>
      <c r="O11" s="2" t="s">
        <v>29</v>
      </c>
      <c r="P11" s="2" t="s">
        <v>29</v>
      </c>
      <c r="Q11" s="2"/>
      <c r="R11" s="2"/>
      <c r="S11" s="2"/>
      <c r="T11" s="2"/>
      <c r="U11" s="2"/>
      <c r="V11" s="2"/>
      <c r="W11" s="2"/>
    </row>
    <row r="12" spans="2:37" s="44" customFormat="1" ht="15.75" x14ac:dyDescent="0.25">
      <c r="B12" s="2" t="s">
        <v>285</v>
      </c>
      <c r="C12" s="2" t="s">
        <v>28</v>
      </c>
      <c r="D12" s="2" t="s">
        <v>283</v>
      </c>
      <c r="E12" s="2" t="s">
        <v>286</v>
      </c>
      <c r="F12" s="2" t="s">
        <v>310</v>
      </c>
      <c r="G12" s="2" t="s">
        <v>27</v>
      </c>
      <c r="H12" s="2" t="s">
        <v>287</v>
      </c>
      <c r="I12" s="2" t="s">
        <v>288</v>
      </c>
      <c r="J12" s="2" t="s">
        <v>29</v>
      </c>
      <c r="K12" s="2" t="s">
        <v>40</v>
      </c>
      <c r="L12" s="2" t="s">
        <v>33</v>
      </c>
      <c r="M12" s="2" t="s">
        <v>38</v>
      </c>
      <c r="N12" s="2" t="s">
        <v>34</v>
      </c>
      <c r="O12" s="2" t="s">
        <v>34</v>
      </c>
      <c r="P12" s="2" t="s">
        <v>34</v>
      </c>
      <c r="Q12" s="2" t="s">
        <v>63</v>
      </c>
      <c r="R12" s="2" t="s">
        <v>41</v>
      </c>
      <c r="S12" s="2" t="s">
        <v>289</v>
      </c>
      <c r="T12" s="2" t="s">
        <v>43</v>
      </c>
      <c r="U12" s="2"/>
      <c r="V12" s="2"/>
      <c r="W12"/>
    </row>
    <row r="13" spans="2:37" s="44" customFormat="1" ht="15.75" x14ac:dyDescent="0.25">
      <c r="B13" s="2" t="s">
        <v>21</v>
      </c>
      <c r="C13" s="2" t="s">
        <v>287</v>
      </c>
      <c r="D13" s="2" t="s">
        <v>288</v>
      </c>
      <c r="E13" s="2" t="s">
        <v>290</v>
      </c>
      <c r="F13" s="2" t="s">
        <v>291</v>
      </c>
      <c r="G13" s="2" t="s">
        <v>290</v>
      </c>
      <c r="H13" s="2" t="s">
        <v>38</v>
      </c>
      <c r="I13" s="2" t="s">
        <v>38</v>
      </c>
      <c r="J13" s="2" t="s">
        <v>38</v>
      </c>
      <c r="K13" s="2" t="s">
        <v>290</v>
      </c>
      <c r="L13" s="2" t="s">
        <v>38</v>
      </c>
      <c r="M13" s="2" t="s">
        <v>292</v>
      </c>
      <c r="N13" s="2" t="s">
        <v>293</v>
      </c>
      <c r="O13" s="2" t="s">
        <v>293</v>
      </c>
      <c r="P13" s="2" t="s">
        <v>293</v>
      </c>
      <c r="Q13" s="2" t="s">
        <v>294</v>
      </c>
      <c r="R13" s="2" t="s">
        <v>46</v>
      </c>
      <c r="S13" s="2" t="s">
        <v>295</v>
      </c>
      <c r="T13" s="2" t="s">
        <v>296</v>
      </c>
      <c r="U13" s="2"/>
      <c r="V13" s="2"/>
      <c r="W13" s="2" t="s">
        <v>56</v>
      </c>
    </row>
    <row r="14" spans="2:37" s="44" customFormat="1" ht="15.75" x14ac:dyDescent="0.25">
      <c r="B14" s="2"/>
      <c r="C14" s="2" t="s">
        <v>297</v>
      </c>
      <c r="D14" s="2" t="s">
        <v>297</v>
      </c>
      <c r="E14" s="2" t="s">
        <v>297</v>
      </c>
      <c r="F14" s="2" t="s">
        <v>297</v>
      </c>
      <c r="G14" s="2" t="s">
        <v>297</v>
      </c>
      <c r="H14" s="2" t="s">
        <v>298</v>
      </c>
      <c r="I14" s="2" t="s">
        <v>298</v>
      </c>
      <c r="J14" s="2" t="s">
        <v>298</v>
      </c>
      <c r="K14" s="2" t="s">
        <v>299</v>
      </c>
      <c r="L14" s="2" t="s">
        <v>300</v>
      </c>
      <c r="M14" s="2" t="s">
        <v>301</v>
      </c>
      <c r="N14" s="2" t="s">
        <v>302</v>
      </c>
      <c r="O14" s="2" t="s">
        <v>303</v>
      </c>
      <c r="P14" s="2" t="s">
        <v>304</v>
      </c>
      <c r="Q14" s="2" t="s">
        <v>305</v>
      </c>
      <c r="R14" s="2" t="s">
        <v>306</v>
      </c>
      <c r="S14" s="2" t="s">
        <v>307</v>
      </c>
      <c r="T14" s="2" t="s">
        <v>308</v>
      </c>
      <c r="U14" s="2"/>
      <c r="V14" s="2"/>
      <c r="W14" s="2" t="s">
        <v>45</v>
      </c>
    </row>
    <row r="15" spans="2:37" s="44" customFormat="1" ht="15.75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 s="2"/>
      <c r="R15" s="2"/>
      <c r="S15" s="2"/>
      <c r="T15" s="2"/>
      <c r="U15" s="2"/>
      <c r="V15" s="2"/>
      <c r="W15" s="2"/>
    </row>
    <row r="16" spans="2:37" s="44" customFormat="1" ht="15.75" x14ac:dyDescent="0.25">
      <c r="B16" s="5">
        <f>+'CAP-2 Program Expenses'!A31</f>
        <v>45474</v>
      </c>
      <c r="C16" s="99">
        <f>+'CAP-2 Program Expenses'!B31</f>
        <v>0</v>
      </c>
      <c r="D16" s="99">
        <f>+'CAP-2 Program Expenses'!C31</f>
        <v>0</v>
      </c>
      <c r="E16" s="99">
        <f>SUM(C16:D16)</f>
        <v>0</v>
      </c>
      <c r="F16" s="99"/>
      <c r="G16" s="99">
        <f>+SUM($E$15:E16)+F16</f>
        <v>0</v>
      </c>
      <c r="H16" s="99">
        <f>(((SUM($C$15:C15)+C16))/12/$F$5)</f>
        <v>0</v>
      </c>
      <c r="I16" s="99">
        <f>(SUM($D$15:D15)+D16)/12/$F$5</f>
        <v>0</v>
      </c>
      <c r="J16" s="99">
        <f>SUM($H$16:I16)</f>
        <v>0</v>
      </c>
      <c r="K16" s="99">
        <f>SUM($C$16:D16)-J16+F16</f>
        <v>0</v>
      </c>
      <c r="L16" s="99">
        <f>E16+F16</f>
        <v>0</v>
      </c>
      <c r="M16" s="99">
        <f>H16+I16+F16</f>
        <v>0</v>
      </c>
      <c r="N16" s="99">
        <f t="shared" ref="N16:N22" si="1">+(L16-M16)*F$7</f>
        <v>0</v>
      </c>
      <c r="O16" s="99">
        <f>+O15</f>
        <v>0</v>
      </c>
      <c r="P16" s="99">
        <f>+P15+N16</f>
        <v>0</v>
      </c>
      <c r="Q16" s="101">
        <f>K16-P16</f>
        <v>0</v>
      </c>
      <c r="R16" s="101">
        <f t="shared" ref="R16:R24" si="2">+Q16*F$6</f>
        <v>0</v>
      </c>
      <c r="S16" s="101">
        <f>+'CAP-2 Program Expenses'!F31</f>
        <v>0</v>
      </c>
      <c r="T16" s="102">
        <f>+SUM(H16:I16)+SUM(R16:S16)</f>
        <v>0</v>
      </c>
      <c r="U16" s="1"/>
      <c r="V16" s="1"/>
      <c r="W16" s="102">
        <f>+Q16*'CAP-1 WACC'!$F$10/12</f>
        <v>0</v>
      </c>
      <c r="Z16" s="44">
        <v>147600.53551273022</v>
      </c>
      <c r="AA16" s="47">
        <f t="shared" ref="AA16:AA21" si="3">H16-Z16</f>
        <v>-147600.53551273022</v>
      </c>
    </row>
    <row r="17" spans="1:27" s="44" customFormat="1" ht="15.75" x14ac:dyDescent="0.25">
      <c r="B17" s="5">
        <f>+'CAP-2 Program Expenses'!A32</f>
        <v>45505</v>
      </c>
      <c r="C17" s="100">
        <f>+'CAP-2 Program Expenses'!B32</f>
        <v>0</v>
      </c>
      <c r="D17" s="100">
        <f>+'CAP-2 Program Expenses'!C32</f>
        <v>0</v>
      </c>
      <c r="E17" s="100">
        <f t="shared" ref="E17:E80" si="4">SUM(C17:D17)</f>
        <v>0</v>
      </c>
      <c r="F17" s="100"/>
      <c r="G17" s="100">
        <f>+SUM($E$15:E17)+F17</f>
        <v>0</v>
      </c>
      <c r="H17" s="100">
        <f>((SUM($C$15:C16)+C17))/12/$F$5</f>
        <v>0</v>
      </c>
      <c r="I17" s="100">
        <f>(SUM($D$15:D16)+D17)/12/$F$5</f>
        <v>0</v>
      </c>
      <c r="J17" s="100">
        <f>SUM($H$16:I17)</f>
        <v>0</v>
      </c>
      <c r="K17" s="100">
        <f>SUM($C$16:D17)-J17+F17</f>
        <v>0</v>
      </c>
      <c r="L17" s="100">
        <f>E17+F17</f>
        <v>0</v>
      </c>
      <c r="M17" s="100">
        <f t="shared" ref="M17:M80" si="5">H17+I17+F17</f>
        <v>0</v>
      </c>
      <c r="N17" s="100">
        <f t="shared" si="1"/>
        <v>0</v>
      </c>
      <c r="O17" s="100">
        <f>+O16+N16</f>
        <v>0</v>
      </c>
      <c r="P17" s="100">
        <f>+P16+N17</f>
        <v>0</v>
      </c>
      <c r="Q17" s="103">
        <f>K17-P17</f>
        <v>0</v>
      </c>
      <c r="R17" s="103">
        <f t="shared" si="2"/>
        <v>0</v>
      </c>
      <c r="S17" s="103">
        <f>+'CAP-2 Program Expenses'!F32</f>
        <v>0</v>
      </c>
      <c r="T17" s="103">
        <f>+SUM(H17:I17)+SUM(R17:S17)</f>
        <v>0</v>
      </c>
      <c r="U17" s="1"/>
      <c r="V17" s="1"/>
      <c r="W17" s="103">
        <f>+Q17*'CAP-1 WACC'!$F$10/12</f>
        <v>0</v>
      </c>
      <c r="Z17" s="44">
        <v>295201.07102546043</v>
      </c>
      <c r="AA17" s="47">
        <f t="shared" si="3"/>
        <v>-295201.07102546043</v>
      </c>
    </row>
    <row r="18" spans="1:27" s="44" customFormat="1" ht="15.75" x14ac:dyDescent="0.25">
      <c r="B18" s="104">
        <f>+'CAP-2 Program Expenses'!A33</f>
        <v>45536</v>
      </c>
      <c r="C18" s="105">
        <f>+'CAP-2 Program Expenses'!B33</f>
        <v>0</v>
      </c>
      <c r="D18" s="105">
        <f>+'CAP-2 Program Expenses'!C33</f>
        <v>0</v>
      </c>
      <c r="E18" s="105">
        <f t="shared" si="4"/>
        <v>0</v>
      </c>
      <c r="F18" s="105"/>
      <c r="G18" s="105">
        <f>+SUM($E$15:E18)+F18</f>
        <v>0</v>
      </c>
      <c r="H18" s="105">
        <f>((SUM($C$15:C17)+C18))/12/$F$5</f>
        <v>0</v>
      </c>
      <c r="I18" s="105">
        <f>(SUM($D$15:D17)+D18)/12/$F$5</f>
        <v>0</v>
      </c>
      <c r="J18" s="105">
        <f>SUM($H$16:I18)</f>
        <v>0</v>
      </c>
      <c r="K18" s="105">
        <f>SUM($C$16:D18)-J18+F18</f>
        <v>0</v>
      </c>
      <c r="L18" s="105">
        <f t="shared" ref="L18:L81" si="6">E18+F18</f>
        <v>0</v>
      </c>
      <c r="M18" s="105">
        <f t="shared" si="5"/>
        <v>0</v>
      </c>
      <c r="N18" s="105">
        <f t="shared" si="1"/>
        <v>0</v>
      </c>
      <c r="O18" s="105">
        <f t="shared" ref="O18:O81" si="7">+O17+N17</f>
        <v>0</v>
      </c>
      <c r="P18" s="105">
        <f t="shared" ref="P18:P81" si="8">+P17+N18</f>
        <v>0</v>
      </c>
      <c r="Q18" s="108">
        <f t="shared" ref="Q18:Q81" si="9">K18-P18</f>
        <v>0</v>
      </c>
      <c r="R18" s="108">
        <f t="shared" si="2"/>
        <v>0</v>
      </c>
      <c r="S18" s="108">
        <f>+'CAP-2 Program Expenses'!F33</f>
        <v>0</v>
      </c>
      <c r="T18" s="108">
        <f t="shared" ref="T18:T81" si="10">+SUM(H18:I18)+SUM(R18:S18)</f>
        <v>0</v>
      </c>
      <c r="U18" s="1"/>
      <c r="V18" s="1"/>
      <c r="W18" s="108">
        <f>+Q18*'CAP-1 WACC'!$F$10/12</f>
        <v>0</v>
      </c>
      <c r="Z18" s="44">
        <v>442801.60653819062</v>
      </c>
      <c r="AA18" s="47">
        <f t="shared" si="3"/>
        <v>-442801.60653819062</v>
      </c>
    </row>
    <row r="19" spans="1:27" s="44" customFormat="1" ht="15.75" x14ac:dyDescent="0.25">
      <c r="B19" s="5">
        <f>+'CAP-2 Program Expenses'!A34</f>
        <v>45566</v>
      </c>
      <c r="C19" s="100">
        <f>+'CAP-2 Program Expenses'!B34</f>
        <v>0</v>
      </c>
      <c r="D19" s="100">
        <f>+'CAP-2 Program Expenses'!C34</f>
        <v>0</v>
      </c>
      <c r="E19" s="100">
        <f t="shared" si="4"/>
        <v>0</v>
      </c>
      <c r="F19" s="100"/>
      <c r="G19" s="100">
        <f>+SUM($E$15:E19)+F19</f>
        <v>0</v>
      </c>
      <c r="H19" s="100">
        <f>((SUM($C$15:C18)+C19))/12/$F$5</f>
        <v>0</v>
      </c>
      <c r="I19" s="100">
        <f>(SUM($D$15:D18)+D19)/12/$F$5</f>
        <v>0</v>
      </c>
      <c r="J19" s="100">
        <f>SUM($H$16:I19)</f>
        <v>0</v>
      </c>
      <c r="K19" s="100">
        <f>SUM($C$16:D19)-J19+F19</f>
        <v>0</v>
      </c>
      <c r="L19" s="100">
        <f t="shared" si="6"/>
        <v>0</v>
      </c>
      <c r="M19" s="100">
        <f t="shared" si="5"/>
        <v>0</v>
      </c>
      <c r="N19" s="100">
        <f t="shared" si="1"/>
        <v>0</v>
      </c>
      <c r="O19" s="100">
        <f t="shared" si="7"/>
        <v>0</v>
      </c>
      <c r="P19" s="100">
        <f t="shared" si="8"/>
        <v>0</v>
      </c>
      <c r="Q19" s="103">
        <f t="shared" si="9"/>
        <v>0</v>
      </c>
      <c r="R19" s="103">
        <f t="shared" si="2"/>
        <v>0</v>
      </c>
      <c r="S19" s="103">
        <f>+'CAP-2 Program Expenses'!F34</f>
        <v>0</v>
      </c>
      <c r="T19" s="103">
        <f t="shared" si="10"/>
        <v>0</v>
      </c>
      <c r="U19" s="1"/>
      <c r="V19" s="1"/>
      <c r="W19" s="103">
        <f>+Q19*'CAP-1 WACC'!$F$10/12</f>
        <v>0</v>
      </c>
      <c r="Z19" s="44">
        <v>590402.14205092087</v>
      </c>
      <c r="AA19" s="47">
        <f t="shared" si="3"/>
        <v>-590402.14205092087</v>
      </c>
    </row>
    <row r="20" spans="1:27" s="44" customFormat="1" ht="15.75" x14ac:dyDescent="0.25">
      <c r="B20" s="5">
        <f>+'CAP-2 Program Expenses'!A35</f>
        <v>45597</v>
      </c>
      <c r="C20" s="100">
        <f>+'CAP-2 Program Expenses'!B35</f>
        <v>0</v>
      </c>
      <c r="D20" s="100">
        <f>+'CAP-2 Program Expenses'!C35</f>
        <v>0</v>
      </c>
      <c r="E20" s="100">
        <f t="shared" si="4"/>
        <v>0</v>
      </c>
      <c r="F20" s="100"/>
      <c r="G20" s="100">
        <f>+SUM($E$15:E20)+F20</f>
        <v>0</v>
      </c>
      <c r="H20" s="100">
        <f>((SUM($C$15:C19)+C20))/12/$F$5</f>
        <v>0</v>
      </c>
      <c r="I20" s="100">
        <f>(SUM($D$15:D19)+D20)/12/$F$5</f>
        <v>0</v>
      </c>
      <c r="J20" s="100">
        <f>SUM($H$16:I20)</f>
        <v>0</v>
      </c>
      <c r="K20" s="100">
        <f>SUM($C$16:D20)-J20+F20</f>
        <v>0</v>
      </c>
      <c r="L20" s="100">
        <f t="shared" si="6"/>
        <v>0</v>
      </c>
      <c r="M20" s="100">
        <f t="shared" si="5"/>
        <v>0</v>
      </c>
      <c r="N20" s="100">
        <f t="shared" si="1"/>
        <v>0</v>
      </c>
      <c r="O20" s="100">
        <f t="shared" si="7"/>
        <v>0</v>
      </c>
      <c r="P20" s="100">
        <f t="shared" si="8"/>
        <v>0</v>
      </c>
      <c r="Q20" s="103">
        <f t="shared" si="9"/>
        <v>0</v>
      </c>
      <c r="R20" s="103">
        <f t="shared" si="2"/>
        <v>0</v>
      </c>
      <c r="S20" s="103">
        <f>+'CAP-2 Program Expenses'!F35</f>
        <v>0</v>
      </c>
      <c r="T20" s="103">
        <f t="shared" si="10"/>
        <v>0</v>
      </c>
      <c r="U20" s="1"/>
      <c r="V20" s="1"/>
      <c r="W20" s="103">
        <f>+Q20*'CAP-1 WACC'!$F$10/12</f>
        <v>0</v>
      </c>
      <c r="Z20" s="44">
        <v>738002.67756365112</v>
      </c>
      <c r="AA20" s="47">
        <f t="shared" si="3"/>
        <v>-738002.67756365112</v>
      </c>
    </row>
    <row r="21" spans="1:27" s="44" customFormat="1" ht="15.75" x14ac:dyDescent="0.25">
      <c r="B21" s="104">
        <f>+'CAP-2 Program Expenses'!A36</f>
        <v>45627</v>
      </c>
      <c r="C21" s="105">
        <f>+'CAP-2 Program Expenses'!B36</f>
        <v>0</v>
      </c>
      <c r="D21" s="105">
        <f>+'CAP-2 Program Expenses'!C36</f>
        <v>0</v>
      </c>
      <c r="E21" s="105">
        <f t="shared" si="4"/>
        <v>0</v>
      </c>
      <c r="F21" s="105"/>
      <c r="G21" s="105">
        <f>+SUM($E$15:E21)+F21</f>
        <v>0</v>
      </c>
      <c r="H21" s="105">
        <f>((SUM($C$15:C20)+C21))/12/$F$5</f>
        <v>0</v>
      </c>
      <c r="I21" s="105">
        <f>(SUM($D$15:D20)+D21)/12/$F$5</f>
        <v>0</v>
      </c>
      <c r="J21" s="105">
        <f>SUM($H$16:I21)</f>
        <v>0</v>
      </c>
      <c r="K21" s="105">
        <f>SUM($C$16:D21)-J21+F21</f>
        <v>0</v>
      </c>
      <c r="L21" s="105">
        <f t="shared" si="6"/>
        <v>0</v>
      </c>
      <c r="M21" s="105">
        <f t="shared" si="5"/>
        <v>0</v>
      </c>
      <c r="N21" s="105">
        <f t="shared" si="1"/>
        <v>0</v>
      </c>
      <c r="O21" s="105">
        <f t="shared" si="7"/>
        <v>0</v>
      </c>
      <c r="P21" s="105">
        <f t="shared" si="8"/>
        <v>0</v>
      </c>
      <c r="Q21" s="108">
        <f t="shared" si="9"/>
        <v>0</v>
      </c>
      <c r="R21" s="108">
        <f t="shared" si="2"/>
        <v>0</v>
      </c>
      <c r="S21" s="108">
        <f>+'CAP-2 Program Expenses'!F36</f>
        <v>0</v>
      </c>
      <c r="T21" s="108">
        <f t="shared" si="10"/>
        <v>0</v>
      </c>
      <c r="U21" s="1"/>
      <c r="V21" s="1"/>
      <c r="W21" s="108">
        <f>+Q21*'CAP-1 WACC'!$F$10/12</f>
        <v>0</v>
      </c>
      <c r="Z21" s="44">
        <v>885603.21307638136</v>
      </c>
      <c r="AA21" s="47">
        <f t="shared" si="3"/>
        <v>-885603.21307638136</v>
      </c>
    </row>
    <row r="22" spans="1:27" s="44" customFormat="1" ht="15.75" x14ac:dyDescent="0.25">
      <c r="A22" s="46" t="s">
        <v>51</v>
      </c>
      <c r="B22" s="5">
        <f>+'CAP-2 Program Expenses'!A37</f>
        <v>45658</v>
      </c>
      <c r="C22" s="366">
        <v>1130404.92</v>
      </c>
      <c r="D22" s="99">
        <v>0</v>
      </c>
      <c r="E22" s="99">
        <f t="shared" si="4"/>
        <v>1130404.92</v>
      </c>
      <c r="F22" s="99">
        <v>0</v>
      </c>
      <c r="G22" s="99">
        <f>+SUM($E$15:E22)+F22</f>
        <v>1130404.92</v>
      </c>
      <c r="H22" s="366">
        <v>9420.0400000000009</v>
      </c>
      <c r="I22" s="99">
        <f>(SUM($D$15:D21)+D22)/12/$F$5</f>
        <v>0</v>
      </c>
      <c r="J22" s="99">
        <f>SUM($H$16:I22)</f>
        <v>9420.0400000000009</v>
      </c>
      <c r="K22" s="99">
        <f>SUM($C$16:D22)-J22+F22</f>
        <v>1120984.8799999999</v>
      </c>
      <c r="L22" s="366">
        <f t="shared" si="6"/>
        <v>1130404.92</v>
      </c>
      <c r="M22" s="99">
        <f t="shared" si="5"/>
        <v>9420.0400000000009</v>
      </c>
      <c r="N22" s="99">
        <f t="shared" si="1"/>
        <v>315108.84976800001</v>
      </c>
      <c r="O22" s="99">
        <f t="shared" si="7"/>
        <v>0</v>
      </c>
      <c r="P22" s="99">
        <f t="shared" si="8"/>
        <v>315108.84976800001</v>
      </c>
      <c r="Q22" s="369">
        <f t="shared" si="9"/>
        <v>805876.03023199993</v>
      </c>
      <c r="R22" s="101">
        <f>+Q22*F$6</f>
        <v>6131.3734633484655</v>
      </c>
      <c r="S22" s="369">
        <v>212328.2</v>
      </c>
      <c r="T22" s="101">
        <f t="shared" si="10"/>
        <v>227879.61346334848</v>
      </c>
      <c r="U22" s="1">
        <v>227879.61000000002</v>
      </c>
      <c r="V22" s="102">
        <f>T22-U22</f>
        <v>3.4633484610822052E-3</v>
      </c>
      <c r="W22" s="101">
        <f>+Q22*'CAP-1 WACC'!$F$10/12</f>
        <v>1477.4393887586664</v>
      </c>
      <c r="Z22" s="44">
        <v>196520.41044468735</v>
      </c>
      <c r="AA22" s="47">
        <f>H22+I22-Z22</f>
        <v>-187100.37044468735</v>
      </c>
    </row>
    <row r="23" spans="1:27" s="44" customFormat="1" ht="15.75" x14ac:dyDescent="0.25">
      <c r="A23" s="46" t="s">
        <v>51</v>
      </c>
      <c r="B23" s="5">
        <f>+'CAP-2 Program Expenses'!A38</f>
        <v>45689</v>
      </c>
      <c r="C23" s="367">
        <v>1419201.6</v>
      </c>
      <c r="D23" s="100">
        <v>0</v>
      </c>
      <c r="E23" s="100">
        <f t="shared" si="4"/>
        <v>1419201.6</v>
      </c>
      <c r="F23" s="367">
        <v>999128.18</v>
      </c>
      <c r="G23" s="100">
        <f>+SUM($E$15:E23)+F23</f>
        <v>3548734.7</v>
      </c>
      <c r="H23" s="367">
        <v>21246.720000000001</v>
      </c>
      <c r="I23" s="100">
        <f>(SUM($D$15:D22)+D23)/12/$F$5</f>
        <v>0</v>
      </c>
      <c r="J23" s="100">
        <f>SUM($H$16:I23)</f>
        <v>30666.760000000002</v>
      </c>
      <c r="K23" s="100">
        <f>SUM($C$16:D23)-J23+F23</f>
        <v>3518067.9400000004</v>
      </c>
      <c r="L23" s="100">
        <f>E23+(F23*F7)</f>
        <v>1700056.5313980002</v>
      </c>
      <c r="M23" s="100">
        <f>H23+I23+F23</f>
        <v>1020374.9</v>
      </c>
      <c r="N23" s="100">
        <f>+(L23-M23)*F$7</f>
        <v>191058.50658597786</v>
      </c>
      <c r="O23" s="100">
        <f>+O22+N22</f>
        <v>315108.84976800001</v>
      </c>
      <c r="P23" s="100">
        <f>+P22+N23</f>
        <v>506167.35635397787</v>
      </c>
      <c r="Q23" s="103">
        <f>K23-P23</f>
        <v>3011900.5836460227</v>
      </c>
      <c r="R23" s="103">
        <f>+Q23*F$6</f>
        <v>22915.543607240154</v>
      </c>
      <c r="S23" s="370">
        <v>243348.72</v>
      </c>
      <c r="T23" s="103">
        <f t="shared" si="10"/>
        <v>287510.98360724014</v>
      </c>
      <c r="U23" s="1">
        <v>284957.92</v>
      </c>
      <c r="V23" s="102">
        <f>T23-U23</f>
        <v>2553.0636072401539</v>
      </c>
      <c r="W23" s="103">
        <f>+Q23*'CAP-1 WACC'!$F$10/12</f>
        <v>5521.8177366843747</v>
      </c>
      <c r="Z23" s="44">
        <v>393040.82088937471</v>
      </c>
      <c r="AA23" s="47">
        <f t="shared" ref="AA23:AA86" si="11">H23+I23-Z23</f>
        <v>-371794.10088937473</v>
      </c>
    </row>
    <row r="24" spans="1:27" s="44" customFormat="1" ht="15.75" x14ac:dyDescent="0.25">
      <c r="A24" s="46" t="s">
        <v>51</v>
      </c>
      <c r="B24" s="104">
        <f>+'CAP-2 Program Expenses'!A39</f>
        <v>45717</v>
      </c>
      <c r="C24" s="368">
        <v>1215351.8099999998</v>
      </c>
      <c r="D24" s="105">
        <v>0</v>
      </c>
      <c r="E24" s="105">
        <f t="shared" si="4"/>
        <v>1215351.8099999998</v>
      </c>
      <c r="F24" s="368">
        <v>197612.28</v>
      </c>
      <c r="G24" s="105">
        <f>+SUM($E$15:E24)+F24</f>
        <v>3962570.61</v>
      </c>
      <c r="H24" s="368">
        <v>31374.65</v>
      </c>
      <c r="I24" s="105">
        <f>(SUM($D$15:D23)+D24)/12/$F$5</f>
        <v>0</v>
      </c>
      <c r="J24" s="105">
        <f>SUM($H$16:I24)</f>
        <v>62041.41</v>
      </c>
      <c r="K24" s="105">
        <f>SUM($C$16:D24)-J24+F24</f>
        <v>3900529.1999999997</v>
      </c>
      <c r="L24" s="105">
        <f t="shared" si="6"/>
        <v>1412964.0899999999</v>
      </c>
      <c r="M24" s="105">
        <f t="shared" si="5"/>
        <v>228986.93</v>
      </c>
      <c r="N24" s="105">
        <f t="shared" ref="N24:N87" si="12">+(L24-M24)*F$7</f>
        <v>332815.97967600002</v>
      </c>
      <c r="O24" s="105">
        <f t="shared" si="7"/>
        <v>506167.35635397787</v>
      </c>
      <c r="P24" s="105">
        <f t="shared" si="8"/>
        <v>838983.33602997789</v>
      </c>
      <c r="Q24" s="108">
        <f t="shared" si="9"/>
        <v>3061545.8639700217</v>
      </c>
      <c r="R24" s="108">
        <f t="shared" si="2"/>
        <v>23293.261448371912</v>
      </c>
      <c r="S24" s="371">
        <v>325845</v>
      </c>
      <c r="T24" s="108">
        <f t="shared" si="10"/>
        <v>380512.91144837195</v>
      </c>
      <c r="U24" s="1"/>
      <c r="V24" s="1"/>
      <c r="W24" s="108">
        <f>+Q24*'CAP-1 WACC'!$F$10/12</f>
        <v>5612.8340839450393</v>
      </c>
      <c r="Z24" s="44">
        <v>589561.23133406206</v>
      </c>
      <c r="AA24" s="47">
        <f t="shared" si="11"/>
        <v>-558186.58133406204</v>
      </c>
    </row>
    <row r="25" spans="1:27" s="44" customFormat="1" ht="15.75" x14ac:dyDescent="0.25">
      <c r="A25" s="46" t="s">
        <v>51</v>
      </c>
      <c r="B25" s="5">
        <f>+'CAP-2 Program Expenses'!A40</f>
        <v>45748</v>
      </c>
      <c r="C25" s="367">
        <v>1572831.1599999997</v>
      </c>
      <c r="D25" s="100">
        <v>0</v>
      </c>
      <c r="E25" s="100">
        <f t="shared" si="4"/>
        <v>1572831.1599999997</v>
      </c>
      <c r="F25" s="367">
        <v>2156533.52</v>
      </c>
      <c r="G25" s="100">
        <f>+SUM($E$15:E25)+F25</f>
        <v>7494323.0099999998</v>
      </c>
      <c r="H25" s="367">
        <v>44481.58</v>
      </c>
      <c r="I25" s="100">
        <f>(SUM($D$15:D24)+D25)/12/$F$5</f>
        <v>0</v>
      </c>
      <c r="J25" s="100">
        <f>SUM($H$16:I25)</f>
        <v>106522.99</v>
      </c>
      <c r="K25" s="100">
        <f>SUM($C$16:D25)-J25+F25</f>
        <v>7387800.0199999996</v>
      </c>
      <c r="L25" s="100">
        <f t="shared" si="6"/>
        <v>3729364.6799999997</v>
      </c>
      <c r="M25" s="100">
        <f t="shared" si="5"/>
        <v>2201015.1</v>
      </c>
      <c r="N25" s="100">
        <f t="shared" si="12"/>
        <v>429619.06693799992</v>
      </c>
      <c r="O25" s="100">
        <f t="shared" si="7"/>
        <v>838983.33602997789</v>
      </c>
      <c r="P25" s="100">
        <f t="shared" si="8"/>
        <v>1268602.4029679778</v>
      </c>
      <c r="Q25" s="103">
        <f t="shared" si="9"/>
        <v>6119197.6170320213</v>
      </c>
      <c r="R25" s="103">
        <f t="shared" ref="R25:R88" si="13">+Q25*F$6</f>
        <v>46556.895202918626</v>
      </c>
      <c r="S25" s="370">
        <v>529533.32999999996</v>
      </c>
      <c r="T25" s="103">
        <f t="shared" si="10"/>
        <v>620571.80520291859</v>
      </c>
      <c r="U25" s="1"/>
      <c r="V25" s="1"/>
      <c r="W25" s="103">
        <f>+Q25*'CAP-1 WACC'!$F$10/12</f>
        <v>11218.528964558705</v>
      </c>
      <c r="Z25" s="44">
        <v>786081.64177874941</v>
      </c>
      <c r="AA25" s="47">
        <f t="shared" si="11"/>
        <v>-741600.06177874946</v>
      </c>
    </row>
    <row r="26" spans="1:27" s="44" customFormat="1" ht="15.75" x14ac:dyDescent="0.25">
      <c r="A26" s="46" t="s">
        <v>51</v>
      </c>
      <c r="B26" s="5">
        <f>+'CAP-2 Program Expenses'!A41</f>
        <v>45778</v>
      </c>
      <c r="C26" s="367">
        <v>6804636.7500000009</v>
      </c>
      <c r="D26" s="100">
        <v>0</v>
      </c>
      <c r="E26" s="100">
        <f t="shared" si="4"/>
        <v>6804636.7500000009</v>
      </c>
      <c r="F26" s="367">
        <v>4092457.56</v>
      </c>
      <c r="G26" s="100">
        <f>+SUM($E$15:E26)+F26</f>
        <v>16234883.800000003</v>
      </c>
      <c r="H26" s="367">
        <v>101186.89</v>
      </c>
      <c r="I26" s="100">
        <f>(SUM($D$15:D25)+D26)/12/$F$5</f>
        <v>0</v>
      </c>
      <c r="J26" s="100">
        <f>SUM($H$16:I26)</f>
        <v>207709.88</v>
      </c>
      <c r="K26" s="100">
        <f>SUM($C$16:D26)-J26+F26</f>
        <v>16027173.920000002</v>
      </c>
      <c r="L26" s="100">
        <f t="shared" si="6"/>
        <v>10897094.310000001</v>
      </c>
      <c r="M26" s="100">
        <f t="shared" si="5"/>
        <v>4193644.45</v>
      </c>
      <c r="N26" s="100">
        <f t="shared" si="12"/>
        <v>1884339.7556460002</v>
      </c>
      <c r="O26" s="100">
        <f t="shared" si="7"/>
        <v>1268602.4029679778</v>
      </c>
      <c r="P26" s="100">
        <f t="shared" si="8"/>
        <v>3152942.158613978</v>
      </c>
      <c r="Q26" s="103">
        <f t="shared" si="9"/>
        <v>12874231.761386024</v>
      </c>
      <c r="R26" s="103">
        <f t="shared" si="13"/>
        <v>97951.446651211983</v>
      </c>
      <c r="S26" s="370">
        <v>488649.02</v>
      </c>
      <c r="T26" s="103">
        <f t="shared" si="10"/>
        <v>687787.35665121197</v>
      </c>
      <c r="U26" s="1"/>
      <c r="V26" s="1"/>
      <c r="W26" s="103">
        <f>+Q26*'CAP-1 WACC'!$F$10/12</f>
        <v>23602.75822920771</v>
      </c>
      <c r="Z26" s="44">
        <v>982602.05222343677</v>
      </c>
      <c r="AA26" s="47">
        <f t="shared" si="11"/>
        <v>-881415.16222343675</v>
      </c>
    </row>
    <row r="27" spans="1:27" s="44" customFormat="1" ht="15.75" x14ac:dyDescent="0.25">
      <c r="A27" s="46" t="s">
        <v>51</v>
      </c>
      <c r="B27" s="104">
        <f>+'CAP-2 Program Expenses'!A42</f>
        <v>45809</v>
      </c>
      <c r="C27" s="368">
        <v>9561347.7500000019</v>
      </c>
      <c r="D27" s="105">
        <v>0</v>
      </c>
      <c r="E27" s="105">
        <f t="shared" si="4"/>
        <v>9561347.7500000019</v>
      </c>
      <c r="F27" s="368">
        <v>1208353.76</v>
      </c>
      <c r="G27" s="105">
        <f>+SUM($E$15:E27)+F27</f>
        <v>22912127.750000004</v>
      </c>
      <c r="H27" s="368">
        <v>180864.78</v>
      </c>
      <c r="I27" s="105">
        <f>(SUM($D$15:D26)+D27)/12/$F$5</f>
        <v>0</v>
      </c>
      <c r="J27" s="105">
        <f>SUM($H$16:I27)</f>
        <v>388574.66000000003</v>
      </c>
      <c r="K27" s="105">
        <f>SUM($C$16:D27)-J27+F27</f>
        <v>22523553.090000004</v>
      </c>
      <c r="L27" s="105">
        <f t="shared" si="6"/>
        <v>10769701.510000002</v>
      </c>
      <c r="M27" s="105">
        <f t="shared" si="5"/>
        <v>1389218.54</v>
      </c>
      <c r="N27" s="105">
        <f t="shared" si="12"/>
        <v>2636853.7628670009</v>
      </c>
      <c r="O27" s="105">
        <f t="shared" si="7"/>
        <v>3152942.158613978</v>
      </c>
      <c r="P27" s="105">
        <f t="shared" si="8"/>
        <v>5789795.9214809788</v>
      </c>
      <c r="Q27" s="108">
        <f t="shared" si="9"/>
        <v>16733757.168519024</v>
      </c>
      <c r="R27" s="108">
        <f t="shared" si="13"/>
        <v>127316.00245714889</v>
      </c>
      <c r="S27" s="371">
        <v>444184.14</v>
      </c>
      <c r="T27" s="108">
        <f t="shared" si="10"/>
        <v>752364.9224571489</v>
      </c>
      <c r="U27" s="1"/>
      <c r="V27" s="1"/>
      <c r="W27" s="108">
        <f>+Q27*'CAP-1 WACC'!$F$10/12</f>
        <v>30678.55480895154</v>
      </c>
      <c r="Z27" s="44">
        <v>1179122.4626681241</v>
      </c>
      <c r="AA27" s="47">
        <f t="shared" si="11"/>
        <v>-998257.68266812409</v>
      </c>
    </row>
    <row r="28" spans="1:27" s="44" customFormat="1" ht="15.75" x14ac:dyDescent="0.25">
      <c r="A28" s="46" t="s">
        <v>51</v>
      </c>
      <c r="B28" s="5">
        <f>+'CAP-2 Program Expenses'!A43</f>
        <v>45839</v>
      </c>
      <c r="C28" s="367">
        <v>12410886.040000001</v>
      </c>
      <c r="D28" s="100">
        <v>0</v>
      </c>
      <c r="E28" s="100">
        <f t="shared" si="4"/>
        <v>12410886.040000001</v>
      </c>
      <c r="F28" s="367">
        <v>4060596.48</v>
      </c>
      <c r="G28" s="100">
        <f>+SUM($E$15:E28)+F28</f>
        <v>38175256.509999998</v>
      </c>
      <c r="H28" s="367">
        <v>284288.83</v>
      </c>
      <c r="I28" s="100">
        <f>(SUM($D$15:D27)+D28)/12/$F$5</f>
        <v>0</v>
      </c>
      <c r="J28" s="100">
        <f>SUM($H$16:I28)</f>
        <v>672863.49</v>
      </c>
      <c r="K28" s="100">
        <f>SUM($C$16:D28)-J28+F28</f>
        <v>37502393.020000003</v>
      </c>
      <c r="L28" s="100">
        <f t="shared" si="6"/>
        <v>16471482.520000001</v>
      </c>
      <c r="M28" s="100">
        <f t="shared" si="5"/>
        <v>4344885.3099999996</v>
      </c>
      <c r="N28" s="100">
        <f t="shared" si="12"/>
        <v>3408786.4757310003</v>
      </c>
      <c r="O28" s="100">
        <f t="shared" si="7"/>
        <v>5789795.9214809788</v>
      </c>
      <c r="P28" s="100">
        <f t="shared" si="8"/>
        <v>9198582.3972119801</v>
      </c>
      <c r="Q28" s="103">
        <f t="shared" si="9"/>
        <v>28303810.622788023</v>
      </c>
      <c r="R28" s="103">
        <f t="shared" si="13"/>
        <v>215344.82582171218</v>
      </c>
      <c r="S28" s="370">
        <v>764125.72</v>
      </c>
      <c r="T28" s="103">
        <f t="shared" si="10"/>
        <v>1263759.3758217122</v>
      </c>
      <c r="U28" s="1"/>
      <c r="V28" s="1"/>
      <c r="W28" s="103">
        <f>+Q28*'CAP-1 WACC'!$F$10/12</f>
        <v>51890.319475111377</v>
      </c>
      <c r="Z28" s="44">
        <v>1387098.4641279425</v>
      </c>
      <c r="AA28" s="47">
        <f t="shared" si="11"/>
        <v>-1102809.6341279424</v>
      </c>
    </row>
    <row r="29" spans="1:27" s="44" customFormat="1" ht="15.75" x14ac:dyDescent="0.25">
      <c r="A29" s="46" t="s">
        <v>51</v>
      </c>
      <c r="B29" s="5">
        <f>+'CAP-2 Program Expenses'!A44</f>
        <v>45870</v>
      </c>
      <c r="C29" s="367">
        <v>17339157.07</v>
      </c>
      <c r="D29" s="100">
        <v>0</v>
      </c>
      <c r="E29" s="100">
        <f t="shared" si="4"/>
        <v>17339157.07</v>
      </c>
      <c r="F29" s="367">
        <v>10859469.26</v>
      </c>
      <c r="G29" s="100">
        <f>+SUM($E$15:E29)+F29</f>
        <v>62313286.359999999</v>
      </c>
      <c r="H29" s="367">
        <v>428781.81</v>
      </c>
      <c r="I29" s="100">
        <f>(SUM($D$15:D28)+D29)/12/$F$5</f>
        <v>0</v>
      </c>
      <c r="J29" s="100">
        <f>SUM($H$16:I29)</f>
        <v>1101645.3</v>
      </c>
      <c r="K29" s="100">
        <f>SUM($C$16:D29)-J29+F29</f>
        <v>61211641.060000002</v>
      </c>
      <c r="L29" s="100">
        <f t="shared" si="6"/>
        <v>28198626.329999998</v>
      </c>
      <c r="M29" s="100">
        <f t="shared" si="5"/>
        <v>11288251.07</v>
      </c>
      <c r="N29" s="100">
        <f t="shared" si="12"/>
        <v>4753506.4855859997</v>
      </c>
      <c r="O29" s="100">
        <f t="shared" si="7"/>
        <v>9198582.3972119801</v>
      </c>
      <c r="P29" s="100">
        <f t="shared" si="8"/>
        <v>13952088.882797979</v>
      </c>
      <c r="Q29" s="103">
        <f t="shared" si="9"/>
        <v>47259552.177202024</v>
      </c>
      <c r="R29" s="103">
        <f t="shared" si="13"/>
        <v>359566.42614821199</v>
      </c>
      <c r="S29" s="370">
        <v>1315842.82</v>
      </c>
      <c r="T29" s="103">
        <f t="shared" si="10"/>
        <v>2104191.0561482119</v>
      </c>
      <c r="U29" s="1"/>
      <c r="V29" s="1"/>
      <c r="W29" s="103">
        <f>+Q29*'CAP-1 WACC'!$F$10/12</f>
        <v>86642.512324870375</v>
      </c>
      <c r="Z29" s="44">
        <v>1595074.4655877608</v>
      </c>
      <c r="AA29" s="47">
        <f t="shared" si="11"/>
        <v>-1166292.6555877607</v>
      </c>
    </row>
    <row r="30" spans="1:27" s="44" customFormat="1" ht="15.75" x14ac:dyDescent="0.25">
      <c r="A30" s="46" t="s">
        <v>51</v>
      </c>
      <c r="B30" s="104">
        <f>+'CAP-2 Program Expenses'!A45</f>
        <v>45901</v>
      </c>
      <c r="C30" s="368">
        <v>12544197.660000002</v>
      </c>
      <c r="D30" s="105">
        <v>0</v>
      </c>
      <c r="E30" s="105">
        <f t="shared" si="4"/>
        <v>12544197.660000002</v>
      </c>
      <c r="F30" s="368">
        <v>3100330.03</v>
      </c>
      <c r="G30" s="105">
        <f>+SUM($E$15:E30)+F30</f>
        <v>67098344.790000007</v>
      </c>
      <c r="H30" s="368">
        <v>533316.79</v>
      </c>
      <c r="I30" s="105">
        <f>(SUM($D$15:D29)+D30)/12/$F$5</f>
        <v>0</v>
      </c>
      <c r="J30" s="105">
        <f>SUM($H$16:I30)</f>
        <v>1634962.09</v>
      </c>
      <c r="K30" s="105">
        <f>SUM($C$16:D30)-J30+F30</f>
        <v>65463382.700000003</v>
      </c>
      <c r="L30" s="105">
        <f t="shared" si="6"/>
        <v>15644527.690000001</v>
      </c>
      <c r="M30" s="105">
        <f t="shared" si="5"/>
        <v>3633646.82</v>
      </c>
      <c r="N30" s="105">
        <f t="shared" si="12"/>
        <v>3376258.6125570005</v>
      </c>
      <c r="O30" s="105">
        <f t="shared" si="7"/>
        <v>13952088.882797979</v>
      </c>
      <c r="P30" s="105">
        <f t="shared" si="8"/>
        <v>17328347.49535498</v>
      </c>
      <c r="Q30" s="108">
        <f t="shared" si="9"/>
        <v>48135035.204645023</v>
      </c>
      <c r="R30" s="108">
        <f t="shared" si="13"/>
        <v>366227.39284867415</v>
      </c>
      <c r="S30" s="371">
        <v>1960048.54</v>
      </c>
      <c r="T30" s="108">
        <f t="shared" si="10"/>
        <v>2859592.7228486743</v>
      </c>
      <c r="U30" s="1"/>
      <c r="V30" s="1"/>
      <c r="W30" s="108">
        <f>+Q30*'CAP-1 WACC'!$F$10/12</f>
        <v>88247.564541849206</v>
      </c>
      <c r="Z30" s="44">
        <v>1803050.4670475791</v>
      </c>
      <c r="AA30" s="47">
        <f t="shared" si="11"/>
        <v>-1269733.6770475791</v>
      </c>
    </row>
    <row r="31" spans="1:27" s="44" customFormat="1" ht="15.75" x14ac:dyDescent="0.25">
      <c r="A31" s="46" t="s">
        <v>51</v>
      </c>
      <c r="B31" s="5">
        <f>+'CAP-2 Program Expenses'!A46</f>
        <v>45931</v>
      </c>
      <c r="C31" s="367">
        <v>10874304.499999998</v>
      </c>
      <c r="D31" s="100">
        <v>0</v>
      </c>
      <c r="E31" s="100">
        <f t="shared" si="4"/>
        <v>10874304.499999998</v>
      </c>
      <c r="F31" s="367">
        <v>8749702.1899999995</v>
      </c>
      <c r="G31" s="100">
        <f>+SUM($E$15:E31)+F31</f>
        <v>83622021.450000003</v>
      </c>
      <c r="H31" s="367">
        <v>623935.99</v>
      </c>
      <c r="I31" s="100">
        <f>(SUM($D$15:D30)+D31)/12/$F$5</f>
        <v>0</v>
      </c>
      <c r="J31" s="100">
        <f>SUM($H$16:I31)</f>
        <v>2258898.08</v>
      </c>
      <c r="K31" s="100">
        <f>SUM($C$16:D31)-J31+F31</f>
        <v>81363123.370000005</v>
      </c>
      <c r="L31" s="100">
        <f t="shared" si="6"/>
        <v>19624006.689999998</v>
      </c>
      <c r="M31" s="100">
        <f t="shared" si="5"/>
        <v>9373638.1799999997</v>
      </c>
      <c r="N31" s="100">
        <f t="shared" si="12"/>
        <v>2881378.5881609996</v>
      </c>
      <c r="O31" s="100">
        <f t="shared" si="7"/>
        <v>17328347.49535498</v>
      </c>
      <c r="P31" s="100">
        <f t="shared" si="8"/>
        <v>20209726.083515979</v>
      </c>
      <c r="Q31" s="103">
        <f t="shared" si="9"/>
        <v>61153397.286484025</v>
      </c>
      <c r="R31" s="103">
        <f t="shared" si="13"/>
        <v>465275.43102133257</v>
      </c>
      <c r="S31" s="370">
        <v>1658700.43</v>
      </c>
      <c r="T31" s="103">
        <f t="shared" si="10"/>
        <v>2747911.8510213327</v>
      </c>
      <c r="U31" s="1"/>
      <c r="V31" s="1"/>
      <c r="W31" s="103">
        <f>+Q31*'CAP-1 WACC'!$F$10/12</f>
        <v>112114.56169188737</v>
      </c>
      <c r="Z31" s="44">
        <v>2011026.4685073975</v>
      </c>
      <c r="AA31" s="47">
        <f t="shared" si="11"/>
        <v>-1387090.4785073975</v>
      </c>
    </row>
    <row r="32" spans="1:27" s="44" customFormat="1" ht="15.75" x14ac:dyDescent="0.25">
      <c r="A32" s="46" t="s">
        <v>51</v>
      </c>
      <c r="B32" s="5">
        <f>+'CAP-2 Program Expenses'!A47</f>
        <v>45962</v>
      </c>
      <c r="C32" s="367">
        <v>10639815.479999999</v>
      </c>
      <c r="D32" s="100">
        <v>0</v>
      </c>
      <c r="E32" s="100">
        <f t="shared" si="4"/>
        <v>10639815.479999999</v>
      </c>
      <c r="F32" s="367">
        <v>12355738.75</v>
      </c>
      <c r="G32" s="100">
        <f>+SUM($E$15:E32)+F32</f>
        <v>97867873.49000001</v>
      </c>
      <c r="H32" s="367">
        <v>712601.12</v>
      </c>
      <c r="I32" s="100">
        <f>(SUM($D$15:D31)+D32)/12/$F$5</f>
        <v>0</v>
      </c>
      <c r="J32" s="100">
        <f>SUM($H$16:I32)</f>
        <v>2971499.2</v>
      </c>
      <c r="K32" s="100">
        <f>SUM($C$16:D32)-J32+F32</f>
        <v>94896374.290000007</v>
      </c>
      <c r="L32" s="100">
        <f t="shared" si="6"/>
        <v>22995554.229999997</v>
      </c>
      <c r="M32" s="100">
        <f t="shared" si="5"/>
        <v>13068339.869999999</v>
      </c>
      <c r="N32" s="100">
        <f t="shared" si="12"/>
        <v>2790539.9565959997</v>
      </c>
      <c r="O32" s="100">
        <f t="shared" si="7"/>
        <v>20209726.083515979</v>
      </c>
      <c r="P32" s="100">
        <f t="shared" si="8"/>
        <v>23000266.040111978</v>
      </c>
      <c r="Q32" s="103">
        <f t="shared" si="9"/>
        <v>71896108.249888033</v>
      </c>
      <c r="R32" s="103">
        <f t="shared" si="13"/>
        <v>547009.55693456472</v>
      </c>
      <c r="S32" s="370">
        <v>1599156.6</v>
      </c>
      <c r="T32" s="103">
        <f t="shared" si="10"/>
        <v>2858767.276934565</v>
      </c>
      <c r="U32" s="1"/>
      <c r="V32" s="1"/>
      <c r="W32" s="103">
        <f>+Q32*'CAP-1 WACC'!$F$10/12</f>
        <v>131809.53179146137</v>
      </c>
      <c r="Z32" s="44">
        <v>2219002.4699672158</v>
      </c>
      <c r="AA32" s="47">
        <f t="shared" si="11"/>
        <v>-1506401.3499672157</v>
      </c>
    </row>
    <row r="33" spans="2:27" s="44" customFormat="1" ht="15.75" x14ac:dyDescent="0.25">
      <c r="B33" s="104">
        <f>+'CAP-2 Program Expenses'!A48</f>
        <v>45992</v>
      </c>
      <c r="C33" s="105">
        <f>+'CAP-2 Program Expenses'!B48</f>
        <v>14002382.996378137</v>
      </c>
      <c r="D33" s="105">
        <f>+'CAP-2 Program Expenses'!C48</f>
        <v>4847189.6671089875</v>
      </c>
      <c r="E33" s="105">
        <f t="shared" si="4"/>
        <v>18849572.663487125</v>
      </c>
      <c r="F33" s="105">
        <f>'Financing Unamortized Balance'!S54</f>
        <v>29937761.262563609</v>
      </c>
      <c r="G33" s="105">
        <f>+SUM($E$15:E33)+F33</f>
        <v>134299468.66605073</v>
      </c>
      <c r="H33" s="105">
        <f>((SUM($C$15:C32)+C33))/12/$F$5</f>
        <v>829287.64780315128</v>
      </c>
      <c r="I33" s="105">
        <f>(SUM($D$15:D32)+D33)/12/$F$5</f>
        <v>40393.247225908228</v>
      </c>
      <c r="J33" s="105">
        <f>SUM($H$16:I33)</f>
        <v>3841180.0950290593</v>
      </c>
      <c r="K33" s="105">
        <f>SUM($C$16:D33)-J33+F33</f>
        <v>130458288.57102168</v>
      </c>
      <c r="L33" s="105">
        <f>E33+F33</f>
        <v>48787333.926050738</v>
      </c>
      <c r="M33" s="105">
        <f>H33+I33+F33</f>
        <v>30807442.157592669</v>
      </c>
      <c r="N33" s="105">
        <f t="shared" si="12"/>
        <v>5054147.576113563</v>
      </c>
      <c r="O33" s="105">
        <f t="shared" si="7"/>
        <v>23000266.040111978</v>
      </c>
      <c r="P33" s="105">
        <f t="shared" si="8"/>
        <v>28054413.616225541</v>
      </c>
      <c r="Q33" s="108">
        <f t="shared" si="9"/>
        <v>102403874.95479614</v>
      </c>
      <c r="R33" s="108">
        <f t="shared" si="13"/>
        <v>779122.8152810738</v>
      </c>
      <c r="S33" s="108">
        <f>+'CAP-2 Program Expenses'!F48</f>
        <v>1103915.85222003</v>
      </c>
      <c r="T33" s="108">
        <f t="shared" si="10"/>
        <v>2752719.5625301632</v>
      </c>
      <c r="U33" s="1"/>
      <c r="V33" s="1"/>
      <c r="W33" s="108">
        <f>+Q33*'CAP-1 WACC'!$F$10/12</f>
        <v>187740.43741712623</v>
      </c>
      <c r="Z33" s="44">
        <v>2426978.4714270341</v>
      </c>
      <c r="AA33" s="47">
        <f t="shared" si="11"/>
        <v>-1557297.5763979745</v>
      </c>
    </row>
    <row r="34" spans="2:27" s="44" customFormat="1" ht="15.75" x14ac:dyDescent="0.25">
      <c r="B34" s="5">
        <f>+'CAP-2 Program Expenses'!A49</f>
        <v>46023</v>
      </c>
      <c r="C34" s="100">
        <f>+'CAP-2 Program Expenses'!B49</f>
        <v>14002382.996378137</v>
      </c>
      <c r="D34" s="100">
        <f>+'CAP-2 Program Expenses'!C49</f>
        <v>4847189.6671089875</v>
      </c>
      <c r="E34" s="100">
        <f t="shared" si="4"/>
        <v>18849572.663487125</v>
      </c>
      <c r="F34" s="100">
        <f>'Financing Unamortized Balance'!T54</f>
        <v>35343505.649973646</v>
      </c>
      <c r="G34" s="100">
        <f>+SUM($E$15:E34)+F34</f>
        <v>158554785.71694791</v>
      </c>
      <c r="H34" s="100">
        <f>((SUM($C$15:C33)+C34))/12/$F$5</f>
        <v>945974.17277296912</v>
      </c>
      <c r="I34" s="100">
        <f>(SUM($D$15:D33)+D34)/12/$F$5</f>
        <v>80786.494451816456</v>
      </c>
      <c r="J34" s="100">
        <f>SUM($H$16:I34)</f>
        <v>4867940.7622538442</v>
      </c>
      <c r="K34" s="100">
        <f>SUM($C$16:D34)-J34+F34</f>
        <v>153686844.95469403</v>
      </c>
      <c r="L34" s="100">
        <f>E34+F34</f>
        <v>54193078.313460767</v>
      </c>
      <c r="M34" s="100">
        <f>H34+I34+F34</f>
        <v>36370266.317198433</v>
      </c>
      <c r="N34" s="100">
        <f t="shared" si="12"/>
        <v>5009992.4521493427</v>
      </c>
      <c r="O34" s="100">
        <f t="shared" si="7"/>
        <v>28054413.616225541</v>
      </c>
      <c r="P34" s="100">
        <f t="shared" si="8"/>
        <v>33064406.068374883</v>
      </c>
      <c r="Q34" s="103">
        <f t="shared" si="9"/>
        <v>120622438.88631915</v>
      </c>
      <c r="R34" s="103">
        <f t="shared" si="13"/>
        <v>917735.72252674471</v>
      </c>
      <c r="S34" s="103">
        <f>+'CAP-2 Program Expenses'!F49</f>
        <v>1103915.85222003</v>
      </c>
      <c r="T34" s="103">
        <f t="shared" si="10"/>
        <v>3048412.2419715603</v>
      </c>
      <c r="U34" s="1"/>
      <c r="V34" s="1"/>
      <c r="W34" s="103">
        <f>+Q34*'CAP-1 WACC'!$F$10/12</f>
        <v>221141.13795825175</v>
      </c>
      <c r="Z34" s="44">
        <v>2634954.4728868525</v>
      </c>
      <c r="AA34" s="47">
        <f t="shared" si="11"/>
        <v>-1608193.8056620669</v>
      </c>
    </row>
    <row r="35" spans="2:27" s="44" customFormat="1" ht="15.75" x14ac:dyDescent="0.25">
      <c r="B35" s="5">
        <f>+'CAP-2 Program Expenses'!A50</f>
        <v>46054</v>
      </c>
      <c r="C35" s="100">
        <f>+'CAP-2 Program Expenses'!B50</f>
        <v>14002382.996378137</v>
      </c>
      <c r="D35" s="100">
        <f>+'CAP-2 Program Expenses'!C50</f>
        <v>4847189.6671089875</v>
      </c>
      <c r="E35" s="100">
        <f t="shared" si="4"/>
        <v>18849572.663487125</v>
      </c>
      <c r="F35" s="100">
        <f>'Financing Unamortized Balance'!U54</f>
        <v>40649999.01891996</v>
      </c>
      <c r="G35" s="100">
        <f>+SUM($E$15:E35)+F35</f>
        <v>182710851.74938136</v>
      </c>
      <c r="H35" s="100">
        <f>((SUM($C$15:C34)+C35))/12/$F$5</f>
        <v>1062660.6977427867</v>
      </c>
      <c r="I35" s="100">
        <f>(SUM($D$15:D34)+D35)/12/$F$5</f>
        <v>121179.74167772468</v>
      </c>
      <c r="J35" s="100">
        <f>SUM($H$16:I35)</f>
        <v>6051781.2016743561</v>
      </c>
      <c r="K35" s="100">
        <f>SUM($C$16:D35)-J35+F35</f>
        <v>176659070.54770696</v>
      </c>
      <c r="L35" s="100">
        <f t="shared" si="6"/>
        <v>59499571.682407081</v>
      </c>
      <c r="M35" s="100">
        <f t="shared" si="5"/>
        <v>41833839.458340473</v>
      </c>
      <c r="N35" s="100">
        <f t="shared" si="12"/>
        <v>4965837.3281851234</v>
      </c>
      <c r="O35" s="100">
        <f t="shared" si="7"/>
        <v>33064406.068374883</v>
      </c>
      <c r="P35" s="100">
        <f t="shared" si="8"/>
        <v>38030243.396560006</v>
      </c>
      <c r="Q35" s="103">
        <f t="shared" si="9"/>
        <v>138628827.15114695</v>
      </c>
      <c r="R35" s="103">
        <f t="shared" si="13"/>
        <v>1054734.3265749763</v>
      </c>
      <c r="S35" s="103">
        <f>+'CAP-2 Program Expenses'!F50</f>
        <v>1103915.85222003</v>
      </c>
      <c r="T35" s="103">
        <f t="shared" si="10"/>
        <v>3342490.6182155176</v>
      </c>
      <c r="U35" s="1"/>
      <c r="V35" s="1"/>
      <c r="W35" s="103">
        <f>+Q35*'CAP-1 WACC'!$F$10/12</f>
        <v>254152.84977710273</v>
      </c>
      <c r="Z35" s="44">
        <v>2842930.4743466708</v>
      </c>
      <c r="AA35" s="47">
        <f t="shared" si="11"/>
        <v>-1659090.0349261593</v>
      </c>
    </row>
    <row r="36" spans="2:27" s="44" customFormat="1" ht="15.75" x14ac:dyDescent="0.25">
      <c r="B36" s="104">
        <f>+'CAP-2 Program Expenses'!A51</f>
        <v>46082</v>
      </c>
      <c r="C36" s="105">
        <f>+'CAP-2 Program Expenses'!B51</f>
        <v>14002382.996378137</v>
      </c>
      <c r="D36" s="105">
        <f>+'CAP-2 Program Expenses'!C51</f>
        <v>4847189.6671089875</v>
      </c>
      <c r="E36" s="105">
        <f t="shared" si="4"/>
        <v>18849572.663487125</v>
      </c>
      <c r="F36" s="105">
        <f>'Financing Unamortized Balance'!V54</f>
        <v>45857241.36940252</v>
      </c>
      <c r="G36" s="105">
        <f>+SUM($E$15:E36)+F36</f>
        <v>206767666.76335105</v>
      </c>
      <c r="H36" s="105">
        <f>((SUM($C$15:C35)+C36))/12/$F$5</f>
        <v>1179347.2227126048</v>
      </c>
      <c r="I36" s="105">
        <f>(SUM($D$15:D35)+D36)/12/$F$5</f>
        <v>161572.98890363291</v>
      </c>
      <c r="J36" s="105">
        <f>SUM($H$16:I36)</f>
        <v>7392701.4132905947</v>
      </c>
      <c r="K36" s="105">
        <f>SUM($C$16:D36)-J36+F36</f>
        <v>199374965.3500604</v>
      </c>
      <c r="L36" s="105">
        <f t="shared" si="6"/>
        <v>64706814.032889649</v>
      </c>
      <c r="M36" s="105">
        <f t="shared" si="5"/>
        <v>47198161.581018761</v>
      </c>
      <c r="N36" s="105">
        <f t="shared" si="12"/>
        <v>4921682.2042209068</v>
      </c>
      <c r="O36" s="105">
        <f t="shared" si="7"/>
        <v>38030243.396560006</v>
      </c>
      <c r="P36" s="105">
        <f t="shared" si="8"/>
        <v>42951925.600780912</v>
      </c>
      <c r="Q36" s="108">
        <f t="shared" si="9"/>
        <v>156423039.7492795</v>
      </c>
      <c r="R36" s="108">
        <f t="shared" si="13"/>
        <v>1190118.6274257679</v>
      </c>
      <c r="S36" s="108">
        <f>+'CAP-2 Program Expenses'!F51</f>
        <v>1103915.85222003</v>
      </c>
      <c r="T36" s="108">
        <f t="shared" si="10"/>
        <v>3634954.6912620356</v>
      </c>
      <c r="U36" s="1"/>
      <c r="V36" s="1"/>
      <c r="W36" s="108">
        <f>+Q36*'CAP-1 WACC'!$F$10/12</f>
        <v>286775.57287367905</v>
      </c>
      <c r="Z36" s="44">
        <v>3050906.4758064891</v>
      </c>
      <c r="AA36" s="47">
        <f t="shared" si="11"/>
        <v>-1709986.2641902515</v>
      </c>
    </row>
    <row r="37" spans="2:27" s="44" customFormat="1" ht="15.75" x14ac:dyDescent="0.25">
      <c r="B37" s="5">
        <f>+'CAP-2 Program Expenses'!A52</f>
        <v>46113</v>
      </c>
      <c r="C37" s="100">
        <f>+'CAP-2 Program Expenses'!B52</f>
        <v>14002382.996378137</v>
      </c>
      <c r="D37" s="100">
        <f>+'CAP-2 Program Expenses'!C52</f>
        <v>4847189.6671089875</v>
      </c>
      <c r="E37" s="100">
        <f t="shared" si="4"/>
        <v>18849572.663487125</v>
      </c>
      <c r="F37" s="100">
        <f>'Financing Unamortized Balance'!W54</f>
        <v>50965232.70142138</v>
      </c>
      <c r="G37" s="100">
        <f>+SUM($E$15:E37)+F37</f>
        <v>230725230.75885704</v>
      </c>
      <c r="H37" s="100">
        <f>((SUM($C$15:C36)+C37))/12/$F$5</f>
        <v>1296033.7476824224</v>
      </c>
      <c r="I37" s="100">
        <f>(SUM($D$15:D36)+D37)/12/$F$5</f>
        <v>201966.23612954112</v>
      </c>
      <c r="J37" s="100">
        <f>SUM($H$16:I37)</f>
        <v>8890701.3971025571</v>
      </c>
      <c r="K37" s="100">
        <f>SUM($C$16:D37)-J37+F37</f>
        <v>221834529.36175439</v>
      </c>
      <c r="L37" s="100">
        <f t="shared" si="6"/>
        <v>69814805.364908502</v>
      </c>
      <c r="M37" s="100">
        <f t="shared" si="5"/>
        <v>52463232.685233347</v>
      </c>
      <c r="N37" s="100">
        <f t="shared" si="12"/>
        <v>4877527.0802566865</v>
      </c>
      <c r="O37" s="100">
        <f t="shared" si="7"/>
        <v>42951925.600780912</v>
      </c>
      <c r="P37" s="100">
        <f t="shared" si="8"/>
        <v>47829452.681037597</v>
      </c>
      <c r="Q37" s="103">
        <f t="shared" si="9"/>
        <v>174005076.68071678</v>
      </c>
      <c r="R37" s="103">
        <f t="shared" si="13"/>
        <v>1323888.62507912</v>
      </c>
      <c r="S37" s="103">
        <f>+'CAP-2 Program Expenses'!F52</f>
        <v>1103915.85222003</v>
      </c>
      <c r="T37" s="103">
        <f t="shared" si="10"/>
        <v>3925804.4611111134</v>
      </c>
      <c r="U37" s="1"/>
      <c r="V37" s="1"/>
      <c r="W37" s="103">
        <f>+Q37*'CAP-1 WACC'!$F$10/12</f>
        <v>319009.30724798073</v>
      </c>
      <c r="Z37" s="44">
        <v>3258882.4772663075</v>
      </c>
      <c r="AA37" s="47">
        <f t="shared" si="11"/>
        <v>-1760882.4934543439</v>
      </c>
    </row>
    <row r="38" spans="2:27" s="44" customFormat="1" ht="15.75" x14ac:dyDescent="0.25">
      <c r="B38" s="5">
        <f>+'CAP-2 Program Expenses'!A53</f>
        <v>46143</v>
      </c>
      <c r="C38" s="100">
        <f>+'CAP-2 Program Expenses'!B53</f>
        <v>14002382.996378137</v>
      </c>
      <c r="D38" s="100">
        <f>+'CAP-2 Program Expenses'!C53</f>
        <v>4847189.6671089875</v>
      </c>
      <c r="E38" s="100">
        <f t="shared" si="4"/>
        <v>18849572.663487125</v>
      </c>
      <c r="F38" s="100">
        <f>'Financing Unamortized Balance'!X54</f>
        <v>55973973.014976479</v>
      </c>
      <c r="G38" s="100">
        <f>+SUM($E$15:E38)+F38</f>
        <v>254583543.73589927</v>
      </c>
      <c r="H38" s="100">
        <f>((SUM($C$15:C37)+C38))/12/$F$5</f>
        <v>1412720.27265224</v>
      </c>
      <c r="I38" s="100">
        <f>(SUM($D$15:D37)+D38)/12/$F$5</f>
        <v>242359.48335544937</v>
      </c>
      <c r="J38" s="100">
        <f>SUM($H$16:I38)</f>
        <v>10545781.153110247</v>
      </c>
      <c r="K38" s="100">
        <f>SUM($C$16:D38)-J38+F38</f>
        <v>244037762.58278891</v>
      </c>
      <c r="L38" s="100">
        <f t="shared" si="6"/>
        <v>74823545.678463608</v>
      </c>
      <c r="M38" s="100">
        <f t="shared" si="5"/>
        <v>57629052.770984165</v>
      </c>
      <c r="N38" s="100">
        <f t="shared" si="12"/>
        <v>4833371.9562924718</v>
      </c>
      <c r="O38" s="100">
        <f t="shared" si="7"/>
        <v>47829452.681037597</v>
      </c>
      <c r="P38" s="100">
        <f t="shared" si="8"/>
        <v>52662824.63733007</v>
      </c>
      <c r="Q38" s="103">
        <f t="shared" si="9"/>
        <v>191374937.94545883</v>
      </c>
      <c r="R38" s="103">
        <f t="shared" si="13"/>
        <v>1456044.3195350324</v>
      </c>
      <c r="S38" s="103">
        <f>+'CAP-2 Program Expenses'!F53</f>
        <v>1103915.85222003</v>
      </c>
      <c r="T38" s="103">
        <f t="shared" si="10"/>
        <v>4215039.9277627515</v>
      </c>
      <c r="U38" s="1"/>
      <c r="V38" s="1"/>
      <c r="W38" s="103">
        <f>+Q38*'CAP-1 WACC'!$F$10/12</f>
        <v>350854.05290000787</v>
      </c>
      <c r="Z38" s="44">
        <v>3466858.4787261258</v>
      </c>
      <c r="AA38" s="47">
        <f t="shared" si="11"/>
        <v>-1811778.7227184365</v>
      </c>
    </row>
    <row r="39" spans="2:27" s="44" customFormat="1" ht="15.75" x14ac:dyDescent="0.25">
      <c r="B39" s="104">
        <f>+'CAP-2 Program Expenses'!A54</f>
        <v>46174</v>
      </c>
      <c r="C39" s="105">
        <f>+'CAP-2 Program Expenses'!B54</f>
        <v>14002382.996378137</v>
      </c>
      <c r="D39" s="105">
        <f>+'CAP-2 Program Expenses'!C54</f>
        <v>4847189.6671089875</v>
      </c>
      <c r="E39" s="105">
        <f t="shared" si="4"/>
        <v>18849572.663487125</v>
      </c>
      <c r="F39" s="105">
        <f>'Financing Unamortized Balance'!Y54</f>
        <v>60883462.310067855</v>
      </c>
      <c r="G39" s="105">
        <f>+SUM($E$15:E39)+F39</f>
        <v>278342605.6944778</v>
      </c>
      <c r="H39" s="105">
        <f>((SUM($C$15:C38)+C39))/12/$F$5</f>
        <v>1529406.7976220578</v>
      </c>
      <c r="I39" s="105">
        <f>(SUM($D$15:D38)+D39)/12/$F$5</f>
        <v>282752.73058135755</v>
      </c>
      <c r="J39" s="105">
        <f>SUM($H$16:I39)</f>
        <v>12357940.681313664</v>
      </c>
      <c r="K39" s="105">
        <f>SUM($C$16:D39)-J39+F39</f>
        <v>265984665.01316398</v>
      </c>
      <c r="L39" s="105">
        <f t="shared" si="6"/>
        <v>79733034.973554984</v>
      </c>
      <c r="M39" s="105">
        <f t="shared" si="5"/>
        <v>62695621.838271268</v>
      </c>
      <c r="N39" s="105">
        <f t="shared" si="12"/>
        <v>4789216.8323282525</v>
      </c>
      <c r="O39" s="105">
        <f t="shared" si="7"/>
        <v>52662824.63733007</v>
      </c>
      <c r="P39" s="105">
        <f t="shared" si="8"/>
        <v>57452041.469658323</v>
      </c>
      <c r="Q39" s="108">
        <f t="shared" si="9"/>
        <v>208532623.54350567</v>
      </c>
      <c r="R39" s="108">
        <f t="shared" si="13"/>
        <v>1586585.7107935054</v>
      </c>
      <c r="S39" s="108">
        <f>+'CAP-2 Program Expenses'!F54</f>
        <v>1103915.85222003</v>
      </c>
      <c r="T39" s="108">
        <f t="shared" si="10"/>
        <v>4502661.0912169507</v>
      </c>
      <c r="U39" s="1"/>
      <c r="V39" s="1"/>
      <c r="W39" s="108">
        <f>+Q39*'CAP-1 WACC'!$F$10/12</f>
        <v>382309.80982976034</v>
      </c>
      <c r="Z39" s="44">
        <v>3674834.4801859441</v>
      </c>
      <c r="AA39" s="47">
        <f t="shared" si="11"/>
        <v>-1862674.9519825287</v>
      </c>
    </row>
    <row r="40" spans="2:27" s="44" customFormat="1" ht="15.75" x14ac:dyDescent="0.25">
      <c r="B40" s="5">
        <f>+'CAP-2 Program Expenses'!A55</f>
        <v>46204</v>
      </c>
      <c r="C40" s="100">
        <f>+'CAP-2 Program Expenses'!B55</f>
        <v>14239386.103616523</v>
      </c>
      <c r="D40" s="100">
        <f>+'CAP-2 Program Expenses'!C55</f>
        <v>4919278.3663456552</v>
      </c>
      <c r="E40" s="100">
        <f t="shared" si="4"/>
        <v>19158664.46996218</v>
      </c>
      <c r="F40" s="100">
        <f>'Financing Unamortized Balance'!Z54</f>
        <v>65693700.586695477</v>
      </c>
      <c r="G40" s="100">
        <f>+SUM($E$15:E40)+F40</f>
        <v>302311508.44106758</v>
      </c>
      <c r="H40" s="100">
        <f>((SUM($C$15:C39)+C40))/12/$F$5</f>
        <v>1648068.348485529</v>
      </c>
      <c r="I40" s="100">
        <f>(SUM($D$15:D39)+D40)/12/$F$5</f>
        <v>323746.71696757141</v>
      </c>
      <c r="J40" s="100">
        <f>SUM($H$16:I40)</f>
        <v>14329755.746766765</v>
      </c>
      <c r="K40" s="100">
        <f>SUM($C$16:D40)-J40+F40</f>
        <v>287981752.69430065</v>
      </c>
      <c r="L40" s="100">
        <f t="shared" si="6"/>
        <v>84852365.056657657</v>
      </c>
      <c r="M40" s="100">
        <f t="shared" si="5"/>
        <v>67665515.652148575</v>
      </c>
      <c r="N40" s="100">
        <f t="shared" si="12"/>
        <v>4831223.3676075032</v>
      </c>
      <c r="O40" s="100">
        <f t="shared" si="7"/>
        <v>57452041.469658323</v>
      </c>
      <c r="P40" s="100">
        <f t="shared" si="8"/>
        <v>62283264.837265827</v>
      </c>
      <c r="Q40" s="103">
        <f t="shared" si="9"/>
        <v>225698487.85703483</v>
      </c>
      <c r="R40" s="103">
        <f t="shared" si="13"/>
        <v>1717189.3284456064</v>
      </c>
      <c r="S40" s="103">
        <f>+'CAP-2 Program Expenses'!F55</f>
        <v>1120166.7132679268</v>
      </c>
      <c r="T40" s="103">
        <f t="shared" si="10"/>
        <v>4809171.107166633</v>
      </c>
      <c r="U40" s="1"/>
      <c r="V40" s="1"/>
      <c r="W40" s="103">
        <f>+Q40*'CAP-1 WACC'!$F$10/12</f>
        <v>413780.56107123051</v>
      </c>
      <c r="Z40" s="44">
        <v>3887057.620288908</v>
      </c>
      <c r="AA40" s="47">
        <f t="shared" si="11"/>
        <v>-1915242.5548358075</v>
      </c>
    </row>
    <row r="41" spans="2:27" s="44" customFormat="1" ht="15.75" x14ac:dyDescent="0.25">
      <c r="B41" s="5">
        <f>+'CAP-2 Program Expenses'!A56</f>
        <v>46235</v>
      </c>
      <c r="C41" s="100">
        <f>+'CAP-2 Program Expenses'!B56</f>
        <v>14239386.103616523</v>
      </c>
      <c r="D41" s="100">
        <f>+'CAP-2 Program Expenses'!C56</f>
        <v>4919278.3663456552</v>
      </c>
      <c r="E41" s="100">
        <f t="shared" si="4"/>
        <v>19158664.46996218</v>
      </c>
      <c r="F41" s="100">
        <f>'Financing Unamortized Balance'!AA54</f>
        <v>70404687.844859391</v>
      </c>
      <c r="G41" s="100">
        <f>+SUM($E$15:E41)+F41</f>
        <v>326181160.16919369</v>
      </c>
      <c r="H41" s="100">
        <f>((SUM($C$15:C40)+C41))/12/$F$5</f>
        <v>1766729.8993489998</v>
      </c>
      <c r="I41" s="100">
        <f>(SUM($D$15:D40)+D41)/12/$F$5</f>
        <v>364740.70335378521</v>
      </c>
      <c r="J41" s="100">
        <f>SUM($H$16:I41)</f>
        <v>16461226.34946955</v>
      </c>
      <c r="K41" s="100">
        <f>SUM($C$16:D41)-J41+F41</f>
        <v>309719933.81972396</v>
      </c>
      <c r="L41" s="100">
        <f t="shared" si="6"/>
        <v>89563352.314821571</v>
      </c>
      <c r="M41" s="100">
        <f t="shared" si="5"/>
        <v>72536158.447562173</v>
      </c>
      <c r="N41" s="100">
        <f t="shared" si="12"/>
        <v>4786344.1960866172</v>
      </c>
      <c r="O41" s="100">
        <f t="shared" si="7"/>
        <v>62283264.837265827</v>
      </c>
      <c r="P41" s="100">
        <f t="shared" si="8"/>
        <v>67069609.033352442</v>
      </c>
      <c r="Q41" s="103">
        <f t="shared" si="9"/>
        <v>242650324.78637153</v>
      </c>
      <c r="R41" s="103">
        <f t="shared" si="13"/>
        <v>1846164.5544163098</v>
      </c>
      <c r="S41" s="103">
        <f>+'CAP-2 Program Expenses'!F56</f>
        <v>1120166.7132679268</v>
      </c>
      <c r="T41" s="103">
        <f t="shared" si="10"/>
        <v>5097801.8703870215</v>
      </c>
      <c r="U41" s="1"/>
      <c r="V41" s="1"/>
      <c r="W41" s="103">
        <f>+Q41*'CAP-1 WACC'!$F$10/12</f>
        <v>444858.92877501441</v>
      </c>
      <c r="Z41" s="44">
        <v>4099280.7603918719</v>
      </c>
      <c r="AA41" s="47">
        <f t="shared" si="11"/>
        <v>-1967810.1576890866</v>
      </c>
    </row>
    <row r="42" spans="2:27" s="44" customFormat="1" ht="15.75" x14ac:dyDescent="0.25">
      <c r="B42" s="104">
        <f>+'CAP-2 Program Expenses'!A57</f>
        <v>46266</v>
      </c>
      <c r="C42" s="105">
        <f>+'CAP-2 Program Expenses'!B57</f>
        <v>14239386.103616523</v>
      </c>
      <c r="D42" s="105">
        <f>+'CAP-2 Program Expenses'!C57</f>
        <v>4919278.3663456552</v>
      </c>
      <c r="E42" s="105">
        <f t="shared" si="4"/>
        <v>19158664.46996218</v>
      </c>
      <c r="F42" s="105">
        <f>'Financing Unamortized Balance'!AB54</f>
        <v>75016424.084559545</v>
      </c>
      <c r="G42" s="105">
        <f>+SUM($E$15:E42)+F42</f>
        <v>349951560.87885606</v>
      </c>
      <c r="H42" s="105">
        <f>((SUM($C$15:C41)+C42))/12/$F$5</f>
        <v>1885391.4502124712</v>
      </c>
      <c r="I42" s="105">
        <f>(SUM($D$15:D41)+D42)/12/$F$5</f>
        <v>405734.68973999901</v>
      </c>
      <c r="J42" s="105">
        <f>SUM($H$16:I42)</f>
        <v>18752352.48942202</v>
      </c>
      <c r="K42" s="105">
        <f>SUM($C$16:D42)-J42+F42</f>
        <v>331199208.38943386</v>
      </c>
      <c r="L42" s="105">
        <f t="shared" si="6"/>
        <v>94175088.554521725</v>
      </c>
      <c r="M42" s="105">
        <f t="shared" si="5"/>
        <v>77307550.224512011</v>
      </c>
      <c r="N42" s="105">
        <f t="shared" si="12"/>
        <v>4741465.0245657312</v>
      </c>
      <c r="O42" s="105">
        <f t="shared" si="7"/>
        <v>67069609.033352442</v>
      </c>
      <c r="P42" s="105">
        <f t="shared" si="8"/>
        <v>71811074.057918176</v>
      </c>
      <c r="Q42" s="108">
        <f t="shared" si="9"/>
        <v>259388134.33151567</v>
      </c>
      <c r="R42" s="108">
        <f t="shared" si="13"/>
        <v>1973511.3887056147</v>
      </c>
      <c r="S42" s="108">
        <f>+'CAP-2 Program Expenses'!F57</f>
        <v>1120166.7132679268</v>
      </c>
      <c r="T42" s="108">
        <f t="shared" si="10"/>
        <v>5384804.2419260116</v>
      </c>
      <c r="U42" s="1"/>
      <c r="V42" s="1"/>
      <c r="W42" s="108">
        <f>+Q42*'CAP-1 WACC'!$F$10/12</f>
        <v>475544.91294111201</v>
      </c>
      <c r="Z42" s="44">
        <v>4311503.9004948353</v>
      </c>
      <c r="AA42" s="47">
        <f t="shared" si="11"/>
        <v>-2020377.7605423653</v>
      </c>
    </row>
    <row r="43" spans="2:27" s="44" customFormat="1" ht="15.75" x14ac:dyDescent="0.25">
      <c r="B43" s="5">
        <f>+'CAP-2 Program Expenses'!A58</f>
        <v>46296</v>
      </c>
      <c r="C43" s="100">
        <f>+'CAP-2 Program Expenses'!B58</f>
        <v>14239386.103616523</v>
      </c>
      <c r="D43" s="100">
        <f>+'CAP-2 Program Expenses'!C58</f>
        <v>4919278.3663456552</v>
      </c>
      <c r="E43" s="100">
        <f t="shared" si="4"/>
        <v>19158664.46996218</v>
      </c>
      <c r="F43" s="100">
        <f>'Financing Unamortized Balance'!AC54</f>
        <v>79528909.305795968</v>
      </c>
      <c r="G43" s="100">
        <f>+SUM($E$15:E43)+F43</f>
        <v>373622710.57005465</v>
      </c>
      <c r="H43" s="100">
        <f>((SUM($C$15:C42)+C43))/12/$F$5</f>
        <v>2004053.0010759425</v>
      </c>
      <c r="I43" s="100">
        <f>(SUM($D$15:D42)+D43)/12/$F$5</f>
        <v>446728.67612621293</v>
      </c>
      <c r="J43" s="100">
        <f>SUM($H$16:I43)</f>
        <v>21203134.166624174</v>
      </c>
      <c r="K43" s="100">
        <f>SUM($C$16:D43)-J43+F43</f>
        <v>352419576.40343028</v>
      </c>
      <c r="L43" s="100">
        <f t="shared" si="6"/>
        <v>98687573.775758147</v>
      </c>
      <c r="M43" s="100">
        <f t="shared" si="5"/>
        <v>81979690.982998118</v>
      </c>
      <c r="N43" s="100">
        <f t="shared" si="12"/>
        <v>4696585.8530448442</v>
      </c>
      <c r="O43" s="100">
        <f t="shared" si="7"/>
        <v>71811074.057918176</v>
      </c>
      <c r="P43" s="100">
        <f t="shared" si="8"/>
        <v>76507659.910963014</v>
      </c>
      <c r="Q43" s="103">
        <f t="shared" si="9"/>
        <v>275911916.49246728</v>
      </c>
      <c r="R43" s="103">
        <f t="shared" si="13"/>
        <v>2099229.8313135216</v>
      </c>
      <c r="S43" s="103">
        <f>+'CAP-2 Program Expenses'!F58</f>
        <v>1120166.7132679268</v>
      </c>
      <c r="T43" s="103">
        <f t="shared" si="10"/>
        <v>5670178.2217836045</v>
      </c>
      <c r="U43" s="1"/>
      <c r="V43" s="1"/>
      <c r="W43" s="103">
        <f>+Q43*'CAP-1 WACC'!$F$10/12</f>
        <v>505838.51356952335</v>
      </c>
      <c r="Z43" s="44">
        <v>4523727.0405977992</v>
      </c>
      <c r="AA43" s="47">
        <f t="shared" si="11"/>
        <v>-2072945.3633956439</v>
      </c>
    </row>
    <row r="44" spans="2:27" s="44" customFormat="1" ht="15.75" x14ac:dyDescent="0.25">
      <c r="B44" s="5">
        <f>+'CAP-2 Program Expenses'!A59</f>
        <v>46327</v>
      </c>
      <c r="C44" s="100">
        <f>+'CAP-2 Program Expenses'!B59</f>
        <v>14239386.103616523</v>
      </c>
      <c r="D44" s="100">
        <f>+'CAP-2 Program Expenses'!C59</f>
        <v>4919278.3663456552</v>
      </c>
      <c r="E44" s="100">
        <f t="shared" si="4"/>
        <v>19158664.46996218</v>
      </c>
      <c r="F44" s="100">
        <f>'Financing Unamortized Balance'!AD54</f>
        <v>83942143.508568674</v>
      </c>
      <c r="G44" s="100">
        <f>+SUM($E$15:E44)+F44</f>
        <v>397194609.24278951</v>
      </c>
      <c r="H44" s="100">
        <f>((SUM($C$15:C43)+C44))/12/$F$5</f>
        <v>2122714.5519394134</v>
      </c>
      <c r="I44" s="100">
        <f>(SUM($D$15:D43)+D44)/12/$F$5</f>
        <v>487722.66251242673</v>
      </c>
      <c r="J44" s="100">
        <f>SUM($H$16:I44)</f>
        <v>23813571.381076012</v>
      </c>
      <c r="K44" s="100">
        <f>SUM($C$16:D44)-J44+F44</f>
        <v>373381037.86171329</v>
      </c>
      <c r="L44" s="100">
        <f t="shared" si="6"/>
        <v>103100807.97853085</v>
      </c>
      <c r="M44" s="100">
        <f t="shared" si="5"/>
        <v>86552580.723020509</v>
      </c>
      <c r="N44" s="100">
        <f t="shared" si="12"/>
        <v>4651706.6815239582</v>
      </c>
      <c r="O44" s="100">
        <f t="shared" si="7"/>
        <v>76507659.910963014</v>
      </c>
      <c r="P44" s="100">
        <f t="shared" si="8"/>
        <v>81159366.592486978</v>
      </c>
      <c r="Q44" s="103">
        <f t="shared" si="9"/>
        <v>292221671.26922631</v>
      </c>
      <c r="R44" s="103">
        <f t="shared" si="13"/>
        <v>2223319.88224003</v>
      </c>
      <c r="S44" s="103">
        <f>+'CAP-2 Program Expenses'!F59</f>
        <v>1120166.7132679268</v>
      </c>
      <c r="T44" s="103">
        <f t="shared" si="10"/>
        <v>5953923.8099597972</v>
      </c>
      <c r="U44" s="1"/>
      <c r="V44" s="1"/>
      <c r="W44" s="103">
        <f>+Q44*'CAP-1 WACC'!$F$10/12</f>
        <v>535739.7306602482</v>
      </c>
      <c r="Z44" s="44">
        <v>4735950.1807007631</v>
      </c>
      <c r="AA44" s="47">
        <f t="shared" si="11"/>
        <v>-2125512.966248923</v>
      </c>
    </row>
    <row r="45" spans="2:27" s="44" customFormat="1" ht="15.75" x14ac:dyDescent="0.25">
      <c r="B45" s="104">
        <f>+'CAP-2 Program Expenses'!A60</f>
        <v>46357</v>
      </c>
      <c r="C45" s="105">
        <f>+'CAP-2 Program Expenses'!B60</f>
        <v>14239386.103616523</v>
      </c>
      <c r="D45" s="105">
        <f>+'CAP-2 Program Expenses'!C60</f>
        <v>4919278.3663456552</v>
      </c>
      <c r="E45" s="105">
        <f t="shared" si="4"/>
        <v>19158664.46996218</v>
      </c>
      <c r="F45" s="105">
        <f>'Financing Unamortized Balance'!AE54</f>
        <v>88256126.69287762</v>
      </c>
      <c r="G45" s="105">
        <f>+SUM($E$15:E45)+F45</f>
        <v>420667256.89706063</v>
      </c>
      <c r="H45" s="105">
        <f>((SUM($C$15:C44)+C45))/12/$F$5</f>
        <v>2241376.1028028848</v>
      </c>
      <c r="I45" s="105">
        <f>(SUM($D$15:D44)+D45)/12/$F$5</f>
        <v>528716.64889864053</v>
      </c>
      <c r="J45" s="105">
        <f>SUM($H$16:I45)</f>
        <v>26583664.132777534</v>
      </c>
      <c r="K45" s="105">
        <f>SUM($C$16:D45)-J45+F45</f>
        <v>394083592.76428294</v>
      </c>
      <c r="L45" s="105">
        <f t="shared" si="6"/>
        <v>107414791.1628398</v>
      </c>
      <c r="M45" s="105">
        <f t="shared" si="5"/>
        <v>91026219.444579139</v>
      </c>
      <c r="N45" s="105">
        <f t="shared" si="12"/>
        <v>4606827.5100030722</v>
      </c>
      <c r="O45" s="105">
        <f t="shared" si="7"/>
        <v>81159366.592486978</v>
      </c>
      <c r="P45" s="105">
        <f t="shared" si="8"/>
        <v>85766194.102490053</v>
      </c>
      <c r="Q45" s="108">
        <f t="shared" si="9"/>
        <v>308317398.66179287</v>
      </c>
      <c r="R45" s="108">
        <f t="shared" si="13"/>
        <v>2345781.5414851406</v>
      </c>
      <c r="S45" s="108">
        <f>+'CAP-2 Program Expenses'!F60</f>
        <v>1120166.7132679268</v>
      </c>
      <c r="T45" s="108">
        <f t="shared" si="10"/>
        <v>6236041.0064545926</v>
      </c>
      <c r="U45" s="1"/>
      <c r="V45" s="1"/>
      <c r="W45" s="108">
        <f>+Q45*'CAP-1 WACC'!$F$10/12</f>
        <v>565248.56421328697</v>
      </c>
      <c r="Z45" s="44">
        <v>4948173.320803727</v>
      </c>
      <c r="AA45" s="47">
        <f t="shared" si="11"/>
        <v>-2178080.5691022016</v>
      </c>
    </row>
    <row r="46" spans="2:27" s="44" customFormat="1" ht="15.75" x14ac:dyDescent="0.25">
      <c r="B46" s="5">
        <f>+'CAP-2 Program Expenses'!A61</f>
        <v>46388</v>
      </c>
      <c r="C46" s="100">
        <f>+'CAP-2 Program Expenses'!B61</f>
        <v>14239386.103616523</v>
      </c>
      <c r="D46" s="100">
        <f>+'CAP-2 Program Expenses'!C61</f>
        <v>4919278.3663456552</v>
      </c>
      <c r="E46" s="100">
        <f t="shared" si="4"/>
        <v>19158664.46996218</v>
      </c>
      <c r="F46" s="100">
        <f>'Financing Unamortized Balance'!AF54</f>
        <v>92538154.623584479</v>
      </c>
      <c r="G46" s="100">
        <f>+SUM($E$15:E46)+F46</f>
        <v>444107949.29772973</v>
      </c>
      <c r="H46" s="100">
        <f>((SUM($C$15:C45)+C46))/12/$F$5</f>
        <v>2360037.6536663556</v>
      </c>
      <c r="I46" s="100">
        <f>(SUM($D$15:D45)+D46)/12/$F$5</f>
        <v>569710.63528485433</v>
      </c>
      <c r="J46" s="100">
        <f>SUM($H$16:I46)</f>
        <v>29513412.421728745</v>
      </c>
      <c r="K46" s="100">
        <f>SUM($C$16:D46)-J46+F46</f>
        <v>414594536.87600076</v>
      </c>
      <c r="L46" s="100">
        <f t="shared" si="6"/>
        <v>111696819.09354666</v>
      </c>
      <c r="M46" s="100">
        <f t="shared" si="5"/>
        <v>95467902.912535682</v>
      </c>
      <c r="N46" s="100">
        <f t="shared" si="12"/>
        <v>4561948.3384821862</v>
      </c>
      <c r="O46" s="100">
        <f t="shared" si="7"/>
        <v>85766194.102490053</v>
      </c>
      <c r="P46" s="100">
        <f t="shared" si="8"/>
        <v>90328142.440972239</v>
      </c>
      <c r="Q46" s="103">
        <f t="shared" si="9"/>
        <v>324266394.43502855</v>
      </c>
      <c r="R46" s="103">
        <f t="shared" si="13"/>
        <v>2467126.8176598419</v>
      </c>
      <c r="S46" s="103">
        <f>+'CAP-2 Program Expenses'!F61</f>
        <v>1120166.7132679268</v>
      </c>
      <c r="T46" s="103">
        <f t="shared" si="10"/>
        <v>6517041.8198789787</v>
      </c>
      <c r="U46" s="1"/>
      <c r="V46" s="1"/>
      <c r="W46" s="103">
        <f>+Q46*'CAP-1 WACC'!$F$10/12</f>
        <v>594488.38979755237</v>
      </c>
      <c r="Z46" s="44">
        <v>5160396.4609066909</v>
      </c>
      <c r="AA46" s="47">
        <f t="shared" si="11"/>
        <v>-2230648.1719554812</v>
      </c>
    </row>
    <row r="47" spans="2:27" s="44" customFormat="1" ht="15.75" x14ac:dyDescent="0.25">
      <c r="B47" s="5">
        <f>+'CAP-2 Program Expenses'!A62</f>
        <v>46419</v>
      </c>
      <c r="C47" s="100">
        <f>+'CAP-2 Program Expenses'!B62</f>
        <v>14239386.103616523</v>
      </c>
      <c r="D47" s="100">
        <f>+'CAP-2 Program Expenses'!C62</f>
        <v>4919278.3663456552</v>
      </c>
      <c r="E47" s="100">
        <f t="shared" si="4"/>
        <v>19158664.46996218</v>
      </c>
      <c r="F47" s="100">
        <f>'Financing Unamortized Balance'!AG54</f>
        <v>96719809.939746633</v>
      </c>
      <c r="G47" s="100">
        <f>+SUM($E$15:E47)+F47</f>
        <v>467448269.08385402</v>
      </c>
      <c r="H47" s="100">
        <f>((SUM($C$15:C46)+C47))/12/$F$5</f>
        <v>2478699.2045298265</v>
      </c>
      <c r="I47" s="100">
        <f>(SUM($D$15:D46)+D47)/12/$F$5</f>
        <v>610704.62167106825</v>
      </c>
      <c r="J47" s="100">
        <f>SUM($H$16:I47)</f>
        <v>32602816.24792964</v>
      </c>
      <c r="K47" s="100">
        <f>SUM($C$16:D47)-J47+F47</f>
        <v>434845452.83592421</v>
      </c>
      <c r="L47" s="100">
        <f t="shared" si="6"/>
        <v>115878474.40970881</v>
      </c>
      <c r="M47" s="100">
        <f t="shared" si="5"/>
        <v>99809213.765947521</v>
      </c>
      <c r="N47" s="100">
        <f t="shared" si="12"/>
        <v>4517069.1669612993</v>
      </c>
      <c r="O47" s="100">
        <f t="shared" si="7"/>
        <v>90328142.440972239</v>
      </c>
      <c r="P47" s="100">
        <f t="shared" si="8"/>
        <v>94845211.607933536</v>
      </c>
      <c r="Q47" s="103">
        <f t="shared" si="9"/>
        <v>340000241.22799069</v>
      </c>
      <c r="R47" s="103">
        <f t="shared" si="13"/>
        <v>2586835.1686762953</v>
      </c>
      <c r="S47" s="103">
        <f>+'CAP-2 Program Expenses'!F62</f>
        <v>1120166.7132679268</v>
      </c>
      <c r="T47" s="103">
        <f t="shared" si="10"/>
        <v>6796405.7081451174</v>
      </c>
      <c r="U47" s="1"/>
      <c r="V47" s="1"/>
      <c r="W47" s="103">
        <f>+Q47*'CAP-1 WACC'!$F$10/12</f>
        <v>623333.77558464953</v>
      </c>
      <c r="Z47" s="44">
        <v>5372619.6010096548</v>
      </c>
      <c r="AA47" s="47">
        <f t="shared" si="11"/>
        <v>-2283215.7748087598</v>
      </c>
    </row>
    <row r="48" spans="2:27" s="44" customFormat="1" ht="15.75" x14ac:dyDescent="0.25">
      <c r="B48" s="104">
        <f>+'CAP-2 Program Expenses'!A63</f>
        <v>46447</v>
      </c>
      <c r="C48" s="105">
        <f>+'CAP-2 Program Expenses'!B63</f>
        <v>14239386.103616523</v>
      </c>
      <c r="D48" s="105">
        <f>+'CAP-2 Program Expenses'!C63</f>
        <v>4919278.3663456552</v>
      </c>
      <c r="E48" s="105">
        <f t="shared" si="4"/>
        <v>19158664.46996218</v>
      </c>
      <c r="F48" s="105">
        <f>'Financing Unamortized Balance'!AH54</f>
        <v>100801092.64136399</v>
      </c>
      <c r="G48" s="105">
        <f>+SUM($E$15:E48)+F48</f>
        <v>490688216.25543356</v>
      </c>
      <c r="H48" s="105">
        <f>((SUM($C$15:C47)+C48))/12/$F$5</f>
        <v>2597360.7553932979</v>
      </c>
      <c r="I48" s="105">
        <f>(SUM($D$15:D47)+D48)/12/$F$5</f>
        <v>651698.60805728205</v>
      </c>
      <c r="J48" s="105">
        <f>SUM($H$16:I48)</f>
        <v>35851875.611380219</v>
      </c>
      <c r="K48" s="105">
        <f>SUM($C$16:D48)-J48+F48</f>
        <v>454836340.64405316</v>
      </c>
      <c r="L48" s="105">
        <f t="shared" si="6"/>
        <v>119959757.11132617</v>
      </c>
      <c r="M48" s="105">
        <f t="shared" si="5"/>
        <v>104050152.00481458</v>
      </c>
      <c r="N48" s="105">
        <f t="shared" si="12"/>
        <v>4472189.9954404086</v>
      </c>
      <c r="O48" s="105">
        <f t="shared" si="7"/>
        <v>94845211.607933536</v>
      </c>
      <c r="P48" s="105">
        <f t="shared" si="8"/>
        <v>99317401.603373945</v>
      </c>
      <c r="Q48" s="108">
        <f t="shared" si="9"/>
        <v>355518939.04067922</v>
      </c>
      <c r="R48" s="108">
        <f t="shared" si="13"/>
        <v>2704906.5945345005</v>
      </c>
      <c r="S48" s="108">
        <f>+'CAP-2 Program Expenses'!F63</f>
        <v>1120166.7132679268</v>
      </c>
      <c r="T48" s="108">
        <f t="shared" si="10"/>
        <v>7074132.6712530069</v>
      </c>
      <c r="U48" s="1"/>
      <c r="V48" s="1"/>
      <c r="W48" s="108">
        <f>+Q48*'CAP-1 WACC'!$F$10/12</f>
        <v>651784.72157457855</v>
      </c>
      <c r="Z48" s="44">
        <v>5584842.7411126187</v>
      </c>
      <c r="AA48" s="47">
        <f t="shared" si="11"/>
        <v>-2335783.3776620389</v>
      </c>
    </row>
    <row r="49" spans="2:27" s="44" customFormat="1" ht="15.75" x14ac:dyDescent="0.25">
      <c r="B49" s="5">
        <f>+'CAP-2 Program Expenses'!A64</f>
        <v>46478</v>
      </c>
      <c r="C49" s="100">
        <f>+'CAP-2 Program Expenses'!B64</f>
        <v>14239386.103616523</v>
      </c>
      <c r="D49" s="100">
        <f>+'CAP-2 Program Expenses'!C64</f>
        <v>4919278.3663456552</v>
      </c>
      <c r="E49" s="100">
        <f t="shared" si="4"/>
        <v>19158664.46996218</v>
      </c>
      <c r="F49" s="100">
        <f>'Financing Unamortized Balance'!AI54</f>
        <v>104782002.72843657</v>
      </c>
      <c r="G49" s="100">
        <f>+SUM($E$15:E49)+F49</f>
        <v>513827790.81246835</v>
      </c>
      <c r="H49" s="100">
        <f>((SUM($C$15:C48)+C49))/12/$F$5</f>
        <v>2716022.3062567692</v>
      </c>
      <c r="I49" s="100">
        <f>(SUM($D$15:D48)+D49)/12/$F$5</f>
        <v>692692.59444349585</v>
      </c>
      <c r="J49" s="100">
        <f>SUM($H$16:I49)</f>
        <v>39260590.512080483</v>
      </c>
      <c r="K49" s="100">
        <f>SUM($C$16:D49)-J49+F49</f>
        <v>474567200.30038768</v>
      </c>
      <c r="L49" s="100">
        <f t="shared" si="6"/>
        <v>123940667.19839875</v>
      </c>
      <c r="M49" s="100">
        <f t="shared" si="5"/>
        <v>108190717.62913685</v>
      </c>
      <c r="N49" s="100">
        <f t="shared" si="12"/>
        <v>4427310.8239195226</v>
      </c>
      <c r="O49" s="100">
        <f t="shared" si="7"/>
        <v>99317401.603373945</v>
      </c>
      <c r="P49" s="100">
        <f t="shared" si="8"/>
        <v>103744712.42729346</v>
      </c>
      <c r="Q49" s="103">
        <f t="shared" si="9"/>
        <v>370822487.8730942</v>
      </c>
      <c r="R49" s="103">
        <f t="shared" si="13"/>
        <v>2821341.0952344579</v>
      </c>
      <c r="S49" s="103">
        <f>+'CAP-2 Program Expenses'!F64</f>
        <v>1120166.7132679268</v>
      </c>
      <c r="T49" s="103">
        <f t="shared" si="10"/>
        <v>7350222.7092026491</v>
      </c>
      <c r="U49" s="1"/>
      <c r="V49" s="1"/>
      <c r="W49" s="103">
        <f>+Q49*'CAP-1 WACC'!$F$10/12</f>
        <v>679841.22776733933</v>
      </c>
      <c r="Z49" s="44">
        <v>5797065.8812155826</v>
      </c>
      <c r="AA49" s="47">
        <f t="shared" si="11"/>
        <v>-2388350.9805153175</v>
      </c>
    </row>
    <row r="50" spans="2:27" s="44" customFormat="1" ht="15.75" x14ac:dyDescent="0.25">
      <c r="B50" s="5">
        <f>+'CAP-2 Program Expenses'!A65</f>
        <v>46508</v>
      </c>
      <c r="C50" s="100">
        <f>+'CAP-2 Program Expenses'!B65</f>
        <v>14239386.103616523</v>
      </c>
      <c r="D50" s="100">
        <f>+'CAP-2 Program Expenses'!C65</f>
        <v>4919278.3663456552</v>
      </c>
      <c r="E50" s="100">
        <f t="shared" si="4"/>
        <v>19158664.46996218</v>
      </c>
      <c r="F50" s="100">
        <f>'Financing Unamortized Balance'!AJ54</f>
        <v>108662540.20096441</v>
      </c>
      <c r="G50" s="100">
        <f>+SUM($E$15:E50)+F50</f>
        <v>536866992.75495833</v>
      </c>
      <c r="H50" s="100">
        <f>((SUM($C$15:C49)+C50))/12/$F$5</f>
        <v>2834683.8571202401</v>
      </c>
      <c r="I50" s="100">
        <f>(SUM($D$15:D49)+D50)/12/$F$5</f>
        <v>733686.58082970965</v>
      </c>
      <c r="J50" s="100">
        <f>SUM($H$16:I50)</f>
        <v>42828960.950030431</v>
      </c>
      <c r="K50" s="100">
        <f>SUM($C$16:D50)-J50+F50</f>
        <v>494038031.80492771</v>
      </c>
      <c r="L50" s="100">
        <f t="shared" si="6"/>
        <v>127821204.67092659</v>
      </c>
      <c r="M50" s="100">
        <f t="shared" si="5"/>
        <v>112230910.63891436</v>
      </c>
      <c r="N50" s="100">
        <f t="shared" si="12"/>
        <v>4382431.6523986366</v>
      </c>
      <c r="O50" s="100">
        <f t="shared" si="7"/>
        <v>103744712.42729346</v>
      </c>
      <c r="P50" s="100">
        <f t="shared" si="8"/>
        <v>108127144.0796921</v>
      </c>
      <c r="Q50" s="103">
        <f t="shared" si="9"/>
        <v>385910887.72523558</v>
      </c>
      <c r="R50" s="103">
        <f t="shared" si="13"/>
        <v>2936138.670776167</v>
      </c>
      <c r="S50" s="103">
        <f>+'CAP-2 Program Expenses'!F65</f>
        <v>1120166.7132679268</v>
      </c>
      <c r="T50" s="103">
        <f t="shared" si="10"/>
        <v>7624675.8219940439</v>
      </c>
      <c r="U50" s="1"/>
      <c r="V50" s="1"/>
      <c r="W50" s="103">
        <f>+Q50*'CAP-1 WACC'!$F$10/12</f>
        <v>707503.29416293185</v>
      </c>
      <c r="Z50" s="44">
        <v>6009289.0213185465</v>
      </c>
      <c r="AA50" s="47">
        <f t="shared" si="11"/>
        <v>-2440918.5833685966</v>
      </c>
    </row>
    <row r="51" spans="2:27" s="44" customFormat="1" ht="15.75" x14ac:dyDescent="0.25">
      <c r="B51" s="104">
        <f>+'CAP-2 Program Expenses'!A66</f>
        <v>46539</v>
      </c>
      <c r="C51" s="105">
        <f>+'CAP-2 Program Expenses'!B66</f>
        <v>14239386.103616523</v>
      </c>
      <c r="D51" s="105">
        <f>+'CAP-2 Program Expenses'!C66</f>
        <v>4919278.3663456552</v>
      </c>
      <c r="E51" s="105">
        <f t="shared" si="4"/>
        <v>19158664.46996218</v>
      </c>
      <c r="F51" s="105">
        <f>'Financing Unamortized Balance'!AK54</f>
        <v>112442705.0589475</v>
      </c>
      <c r="G51" s="105">
        <f>+SUM($E$15:E51)+F51</f>
        <v>559805822.08290362</v>
      </c>
      <c r="H51" s="105">
        <f>((SUM($C$15:C50)+C51))/12/$F$5</f>
        <v>2953345.4079837115</v>
      </c>
      <c r="I51" s="105">
        <f>(SUM($D$15:D50)+D51)/12/$F$5</f>
        <v>774680.56721592345</v>
      </c>
      <c r="J51" s="105">
        <f>SUM($H$16:I51)</f>
        <v>46556986.925230071</v>
      </c>
      <c r="K51" s="105">
        <f>SUM($C$16:D51)-J51+F51</f>
        <v>513248835.15767336</v>
      </c>
      <c r="L51" s="105">
        <f t="shared" si="6"/>
        <v>131601369.52890968</v>
      </c>
      <c r="M51" s="105">
        <f t="shared" si="5"/>
        <v>116170731.03414714</v>
      </c>
      <c r="N51" s="105">
        <f t="shared" si="12"/>
        <v>4337552.4808777506</v>
      </c>
      <c r="O51" s="105">
        <f t="shared" si="7"/>
        <v>108127144.0796921</v>
      </c>
      <c r="P51" s="105">
        <f t="shared" si="8"/>
        <v>112464696.56056985</v>
      </c>
      <c r="Q51" s="108">
        <f t="shared" si="9"/>
        <v>400784138.59710348</v>
      </c>
      <c r="R51" s="108">
        <f t="shared" si="13"/>
        <v>3049299.3211596287</v>
      </c>
      <c r="S51" s="108">
        <f>+'CAP-2 Program Expenses'!F66</f>
        <v>1120166.7132679268</v>
      </c>
      <c r="T51" s="108">
        <f t="shared" si="10"/>
        <v>7897492.0096271904</v>
      </c>
      <c r="U51" s="1"/>
      <c r="V51" s="1"/>
      <c r="W51" s="108">
        <f>+Q51*'CAP-1 WACC'!$F$10/12</f>
        <v>734770.92076135625</v>
      </c>
      <c r="Z51" s="44">
        <v>6221512.1614215104</v>
      </c>
      <c r="AA51" s="47">
        <f t="shared" si="11"/>
        <v>-2493486.1862218753</v>
      </c>
    </row>
    <row r="52" spans="2:27" s="44" customFormat="1" ht="15.75" x14ac:dyDescent="0.25">
      <c r="B52" s="5">
        <f>+'CAP-2 Program Expenses'!A67</f>
        <v>46569</v>
      </c>
      <c r="C52" s="100">
        <f>+'CAP-2 Program Expenses'!B67</f>
        <v>0</v>
      </c>
      <c r="D52" s="100">
        <f>+'CAP-2 Program Expenses'!C67</f>
        <v>0</v>
      </c>
      <c r="E52" s="100">
        <f t="shared" si="4"/>
        <v>0</v>
      </c>
      <c r="F52" s="100">
        <f>'Financing Unamortized Balance'!AL54</f>
        <v>116122497.30238578</v>
      </c>
      <c r="G52" s="100">
        <f>+SUM($E$15:E52)+F52</f>
        <v>563485614.32634187</v>
      </c>
      <c r="H52" s="100">
        <f>((SUM($C$15:C51)+C52))/12/$F$5</f>
        <v>2953345.4079837115</v>
      </c>
      <c r="I52" s="100">
        <f>(SUM($D$15:D51)+D52)/12/$F$5</f>
        <v>774680.56721592345</v>
      </c>
      <c r="J52" s="100">
        <f>SUM($H$16:I52)</f>
        <v>50285012.900429711</v>
      </c>
      <c r="K52" s="100">
        <f>SUM($C$16:D52)-J52+F52</f>
        <v>513200601.42591202</v>
      </c>
      <c r="L52" s="100">
        <f t="shared" si="6"/>
        <v>116122497.30238578</v>
      </c>
      <c r="M52" s="100">
        <f t="shared" si="5"/>
        <v>119850523.27758542</v>
      </c>
      <c r="N52" s="100">
        <f t="shared" si="12"/>
        <v>-1047948.1016286188</v>
      </c>
      <c r="O52" s="100">
        <f t="shared" si="7"/>
        <v>112464696.56056985</v>
      </c>
      <c r="P52" s="100">
        <f t="shared" si="8"/>
        <v>111416748.45894124</v>
      </c>
      <c r="Q52" s="103">
        <f t="shared" si="9"/>
        <v>401783852.9669708</v>
      </c>
      <c r="R52" s="103">
        <f t="shared" si="13"/>
        <v>3056905.4813237023</v>
      </c>
      <c r="S52" s="103">
        <f>+'CAP-2 Program Expenses'!F67</f>
        <v>0</v>
      </c>
      <c r="T52" s="103">
        <f t="shared" si="10"/>
        <v>6784931.4565233374</v>
      </c>
      <c r="U52" s="1"/>
      <c r="V52" s="1"/>
      <c r="W52" s="103">
        <f>+Q52*'CAP-1 WACC'!$F$10/12</f>
        <v>736603.7304394464</v>
      </c>
      <c r="Z52" s="44">
        <v>6221512.1614215104</v>
      </c>
      <c r="AA52" s="47">
        <f t="shared" si="11"/>
        <v>-2493486.1862218753</v>
      </c>
    </row>
    <row r="53" spans="2:27" s="44" customFormat="1" ht="15.75" x14ac:dyDescent="0.25">
      <c r="B53" s="5">
        <f>+'CAP-2 Program Expenses'!A68</f>
        <v>46600</v>
      </c>
      <c r="C53" s="100">
        <f>+'CAP-2 Program Expenses'!B68</f>
        <v>0</v>
      </c>
      <c r="D53" s="100">
        <f>+'CAP-2 Program Expenses'!C68</f>
        <v>0</v>
      </c>
      <c r="E53" s="100">
        <f t="shared" si="4"/>
        <v>0</v>
      </c>
      <c r="F53" s="100">
        <f>'Financing Unamortized Balance'!AM54</f>
        <v>119701916.93127936</v>
      </c>
      <c r="G53" s="100">
        <f>+SUM($E$15:E53)+F53</f>
        <v>567065033.95523548</v>
      </c>
      <c r="H53" s="100">
        <f>((SUM($C$15:C52)+C53))/12/$F$5</f>
        <v>2953345.4079837115</v>
      </c>
      <c r="I53" s="100">
        <f>(SUM($D$15:D52)+D53)/12/$F$5</f>
        <v>774680.56721592345</v>
      </c>
      <c r="J53" s="100">
        <f>SUM($H$16:I53)</f>
        <v>54013038.875629351</v>
      </c>
      <c r="K53" s="100">
        <f>SUM($C$16:D53)-J53+F53</f>
        <v>513051995.07960594</v>
      </c>
      <c r="L53" s="100">
        <f t="shared" si="6"/>
        <v>119701916.93127936</v>
      </c>
      <c r="M53" s="100">
        <f t="shared" si="5"/>
        <v>123429942.906479</v>
      </c>
      <c r="N53" s="100">
        <f t="shared" si="12"/>
        <v>-1047948.1016286188</v>
      </c>
      <c r="O53" s="100">
        <f t="shared" si="7"/>
        <v>111416748.45894124</v>
      </c>
      <c r="P53" s="100">
        <f t="shared" si="8"/>
        <v>110368800.35731262</v>
      </c>
      <c r="Q53" s="103">
        <f t="shared" si="9"/>
        <v>402683194.72229332</v>
      </c>
      <c r="R53" s="103">
        <f t="shared" si="13"/>
        <v>3063747.9731787811</v>
      </c>
      <c r="S53" s="103">
        <f>+'CAP-2 Program Expenses'!F68</f>
        <v>0</v>
      </c>
      <c r="T53" s="103">
        <f t="shared" si="10"/>
        <v>6791773.9483784158</v>
      </c>
      <c r="U53" s="1"/>
      <c r="V53" s="1"/>
      <c r="W53" s="103">
        <f>+Q53*'CAP-1 WACC'!$F$10/12</f>
        <v>738252.52365753765</v>
      </c>
      <c r="Z53" s="44">
        <v>6221512.1614215104</v>
      </c>
      <c r="AA53" s="47">
        <f t="shared" si="11"/>
        <v>-2493486.1862218753</v>
      </c>
    </row>
    <row r="54" spans="2:27" s="44" customFormat="1" ht="15.75" x14ac:dyDescent="0.25">
      <c r="B54" s="104">
        <f>+'CAP-2 Program Expenses'!A69</f>
        <v>46631</v>
      </c>
      <c r="C54" s="105">
        <f>+'CAP-2 Program Expenses'!B69</f>
        <v>0</v>
      </c>
      <c r="D54" s="105">
        <f>+'CAP-2 Program Expenses'!C69</f>
        <v>0</v>
      </c>
      <c r="E54" s="105">
        <f t="shared" si="4"/>
        <v>0</v>
      </c>
      <c r="F54" s="105">
        <f>'Financing Unamortized Balance'!AN54</f>
        <v>123180963.94562811</v>
      </c>
      <c r="G54" s="105">
        <f>+SUM($E$15:E54)+F54</f>
        <v>570544080.96958423</v>
      </c>
      <c r="H54" s="105">
        <f>((SUM($C$15:C53)+C54))/12/$F$5</f>
        <v>2953345.4079837115</v>
      </c>
      <c r="I54" s="105">
        <f>(SUM($D$15:D53)+D54)/12/$F$5</f>
        <v>774680.56721592345</v>
      </c>
      <c r="J54" s="105">
        <f>SUM($H$16:I54)</f>
        <v>57741064.85082899</v>
      </c>
      <c r="K54" s="105">
        <f>SUM($C$16:D54)-J54+F54</f>
        <v>512803016.11875504</v>
      </c>
      <c r="L54" s="105">
        <f t="shared" si="6"/>
        <v>123180963.94562811</v>
      </c>
      <c r="M54" s="105">
        <f t="shared" si="5"/>
        <v>126908989.92082775</v>
      </c>
      <c r="N54" s="105">
        <f t="shared" si="12"/>
        <v>-1047948.1016286188</v>
      </c>
      <c r="O54" s="105">
        <f t="shared" si="7"/>
        <v>110368800.35731262</v>
      </c>
      <c r="P54" s="105">
        <f t="shared" si="8"/>
        <v>109320852.255684</v>
      </c>
      <c r="Q54" s="108">
        <f t="shared" si="9"/>
        <v>403482163.86307102</v>
      </c>
      <c r="R54" s="108">
        <f t="shared" si="13"/>
        <v>3069826.7967248652</v>
      </c>
      <c r="S54" s="108">
        <f>+'CAP-2 Program Expenses'!F69</f>
        <v>0</v>
      </c>
      <c r="T54" s="108">
        <f t="shared" si="10"/>
        <v>6797852.7719245004</v>
      </c>
      <c r="U54" s="1"/>
      <c r="V54" s="1"/>
      <c r="W54" s="108">
        <f>+Q54*'CAP-1 WACC'!$F$10/12</f>
        <v>739717.3004156301</v>
      </c>
      <c r="Z54" s="44">
        <v>6221512.1614215104</v>
      </c>
      <c r="AA54" s="47">
        <f t="shared" si="11"/>
        <v>-2493486.1862218753</v>
      </c>
    </row>
    <row r="55" spans="2:27" s="44" customFormat="1" ht="15.75" x14ac:dyDescent="0.25">
      <c r="B55" s="5">
        <f>+'CAP-2 Program Expenses'!A70</f>
        <v>46661</v>
      </c>
      <c r="C55" s="100">
        <f>+'CAP-2 Program Expenses'!B70</f>
        <v>0</v>
      </c>
      <c r="D55" s="100">
        <f>+'CAP-2 Program Expenses'!C70</f>
        <v>0</v>
      </c>
      <c r="E55" s="100">
        <f t="shared" si="4"/>
        <v>0</v>
      </c>
      <c r="F55" s="100">
        <f>'Financing Unamortized Balance'!AO54</f>
        <v>126559638.34543218</v>
      </c>
      <c r="G55" s="100">
        <f>+SUM($E$15:E55)+F55</f>
        <v>573922755.36938834</v>
      </c>
      <c r="H55" s="100">
        <f>((SUM($C$15:C54)+C55))/12/$F$5</f>
        <v>2953345.4079837115</v>
      </c>
      <c r="I55" s="100">
        <f>(SUM($D$15:D54)+D55)/12/$F$5</f>
        <v>774680.56721592345</v>
      </c>
      <c r="J55" s="100">
        <f>SUM($H$16:I55)</f>
        <v>61469090.82602863</v>
      </c>
      <c r="K55" s="100">
        <f>SUM($C$16:D55)-J55+F55</f>
        <v>512453664.54335946</v>
      </c>
      <c r="L55" s="100">
        <f t="shared" si="6"/>
        <v>126559638.34543218</v>
      </c>
      <c r="M55" s="100">
        <f t="shared" si="5"/>
        <v>130287664.32063182</v>
      </c>
      <c r="N55" s="100">
        <f t="shared" si="12"/>
        <v>-1047948.1016286188</v>
      </c>
      <c r="O55" s="100">
        <f t="shared" si="7"/>
        <v>109320852.255684</v>
      </c>
      <c r="P55" s="100">
        <f t="shared" si="8"/>
        <v>108272904.15405539</v>
      </c>
      <c r="Q55" s="103">
        <f t="shared" si="9"/>
        <v>404180760.38930404</v>
      </c>
      <c r="R55" s="103">
        <f t="shared" si="13"/>
        <v>3075141.9519619546</v>
      </c>
      <c r="S55" s="103">
        <f>+'CAP-2 Program Expenses'!F70</f>
        <v>0</v>
      </c>
      <c r="T55" s="103">
        <f t="shared" si="10"/>
        <v>6803167.9271615893</v>
      </c>
      <c r="U55" s="1"/>
      <c r="V55" s="1"/>
      <c r="W55" s="103">
        <f>+Q55*'CAP-1 WACC'!$F$10/12</f>
        <v>740998.06071372412</v>
      </c>
      <c r="Z55" s="44">
        <v>6221512.1614215104</v>
      </c>
      <c r="AA55" s="47">
        <f t="shared" si="11"/>
        <v>-2493486.1862218753</v>
      </c>
    </row>
    <row r="56" spans="2:27" s="44" customFormat="1" ht="15.75" x14ac:dyDescent="0.25">
      <c r="B56" s="5">
        <f>+'CAP-2 Program Expenses'!A71</f>
        <v>46692</v>
      </c>
      <c r="C56" s="100">
        <f>+'CAP-2 Program Expenses'!B71</f>
        <v>0</v>
      </c>
      <c r="D56" s="100">
        <f>+'CAP-2 Program Expenses'!C71</f>
        <v>0</v>
      </c>
      <c r="E56" s="100">
        <f t="shared" si="4"/>
        <v>0</v>
      </c>
      <c r="F56" s="100">
        <f>'Financing Unamortized Balance'!AP54</f>
        <v>129837940.13069142</v>
      </c>
      <c r="G56" s="100">
        <f>+SUM($E$15:E56)+F56</f>
        <v>577201057.15464759</v>
      </c>
      <c r="H56" s="100">
        <f>((SUM($C$15:C55)+C56))/12/$F$5</f>
        <v>2953345.4079837115</v>
      </c>
      <c r="I56" s="100">
        <f>(SUM($D$15:D55)+D56)/12/$F$5</f>
        <v>774680.56721592345</v>
      </c>
      <c r="J56" s="100">
        <f>SUM($H$16:I56)</f>
        <v>65197116.80122827</v>
      </c>
      <c r="K56" s="100">
        <f>SUM($C$16:D56)-J56+F56</f>
        <v>512003940.35341907</v>
      </c>
      <c r="L56" s="100">
        <f t="shared" si="6"/>
        <v>129837940.13069142</v>
      </c>
      <c r="M56" s="100">
        <f t="shared" si="5"/>
        <v>133565966.10589106</v>
      </c>
      <c r="N56" s="100">
        <f t="shared" si="12"/>
        <v>-1047948.1016286188</v>
      </c>
      <c r="O56" s="100">
        <f t="shared" si="7"/>
        <v>108272904.15405539</v>
      </c>
      <c r="P56" s="100">
        <f t="shared" si="8"/>
        <v>107224956.05242677</v>
      </c>
      <c r="Q56" s="103">
        <f t="shared" si="9"/>
        <v>404778984.30099231</v>
      </c>
      <c r="R56" s="103">
        <f t="shared" si="13"/>
        <v>3079693.4388900492</v>
      </c>
      <c r="S56" s="103">
        <f>+'CAP-2 Program Expenses'!F71</f>
        <v>0</v>
      </c>
      <c r="T56" s="103">
        <f t="shared" si="10"/>
        <v>6807719.4140896844</v>
      </c>
      <c r="U56" s="1"/>
      <c r="V56" s="1"/>
      <c r="W56" s="103">
        <f>+Q56*'CAP-1 WACC'!$F$10/12</f>
        <v>742094.80455181922</v>
      </c>
      <c r="Z56" s="44">
        <v>6221512.1614215104</v>
      </c>
      <c r="AA56" s="47">
        <f t="shared" si="11"/>
        <v>-2493486.1862218753</v>
      </c>
    </row>
    <row r="57" spans="2:27" s="44" customFormat="1" ht="15.75" x14ac:dyDescent="0.25">
      <c r="B57" s="104">
        <f>+'CAP-2 Program Expenses'!A72</f>
        <v>46722</v>
      </c>
      <c r="C57" s="105">
        <f>+'CAP-2 Program Expenses'!B72</f>
        <v>0</v>
      </c>
      <c r="D57" s="105">
        <f>+'CAP-2 Program Expenses'!C72</f>
        <v>0</v>
      </c>
      <c r="E57" s="105">
        <f t="shared" si="4"/>
        <v>0</v>
      </c>
      <c r="F57" s="105">
        <f>'Financing Unamortized Balance'!AQ54</f>
        <v>133015869.30140594</v>
      </c>
      <c r="G57" s="105">
        <f>+SUM($E$15:E57)+F57</f>
        <v>580378986.32536209</v>
      </c>
      <c r="H57" s="105">
        <f>((SUM($C$15:C56)+C57))/12/$F$5</f>
        <v>2953345.4079837115</v>
      </c>
      <c r="I57" s="105">
        <f>(SUM($D$15:D56)+D57)/12/$F$5</f>
        <v>774680.56721592345</v>
      </c>
      <c r="J57" s="105">
        <f>SUM($H$16:I57)</f>
        <v>68925142.776427895</v>
      </c>
      <c r="K57" s="105">
        <f>SUM($C$16:D57)-J57+F57</f>
        <v>511453843.54893398</v>
      </c>
      <c r="L57" s="105">
        <f t="shared" si="6"/>
        <v>133015869.30140594</v>
      </c>
      <c r="M57" s="105">
        <f t="shared" si="5"/>
        <v>136743895.27660558</v>
      </c>
      <c r="N57" s="105">
        <f t="shared" si="12"/>
        <v>-1047948.1016286188</v>
      </c>
      <c r="O57" s="105">
        <f t="shared" si="7"/>
        <v>107224956.05242677</v>
      </c>
      <c r="P57" s="105">
        <f t="shared" si="8"/>
        <v>106177007.95079815</v>
      </c>
      <c r="Q57" s="108">
        <f t="shared" si="9"/>
        <v>405276835.59813583</v>
      </c>
      <c r="R57" s="108">
        <f t="shared" si="13"/>
        <v>3083481.2575091496</v>
      </c>
      <c r="S57" s="108">
        <f>+'CAP-2 Program Expenses'!F72</f>
        <v>0</v>
      </c>
      <c r="T57" s="108">
        <f t="shared" si="10"/>
        <v>6811507.2327087848</v>
      </c>
      <c r="U57" s="1"/>
      <c r="V57" s="1"/>
      <c r="W57" s="108">
        <f>+Q57*'CAP-1 WACC'!$F$10/12</f>
        <v>743007.53192991565</v>
      </c>
      <c r="Z57" s="44">
        <v>6221512.1614215104</v>
      </c>
      <c r="AA57" s="47">
        <f t="shared" si="11"/>
        <v>-2493486.1862218753</v>
      </c>
    </row>
    <row r="58" spans="2:27" s="44" customFormat="1" ht="15.75" x14ac:dyDescent="0.25">
      <c r="B58" s="5">
        <f>+'CAP-2 Program Expenses'!A73</f>
        <v>46753</v>
      </c>
      <c r="C58" s="100">
        <f>+'CAP-2 Program Expenses'!B73</f>
        <v>0</v>
      </c>
      <c r="D58" s="100">
        <f>+'CAP-2 Program Expenses'!C73</f>
        <v>0</v>
      </c>
      <c r="E58" s="100">
        <f t="shared" si="4"/>
        <v>0</v>
      </c>
      <c r="F58" s="100">
        <f>'Financing Unamortized Balance'!AR54</f>
        <v>130071068.98488998</v>
      </c>
      <c r="G58" s="100">
        <f>+SUM($E$15:E58)+F58</f>
        <v>577434186.00884604</v>
      </c>
      <c r="H58" s="100">
        <f>((SUM($C$15:C57)+C58))/12/$F$5</f>
        <v>2953345.4079837115</v>
      </c>
      <c r="I58" s="100">
        <f>(SUM($D$15:D57)+D58)/12/$F$5</f>
        <v>774680.56721592345</v>
      </c>
      <c r="J58" s="100">
        <f>SUM($H$16:I58)</f>
        <v>72653168.75162752</v>
      </c>
      <c r="K58" s="100">
        <f>SUM($C$16:D58)-J58+F58</f>
        <v>504781017.25721842</v>
      </c>
      <c r="L58" s="100">
        <f t="shared" si="6"/>
        <v>130071068.98488998</v>
      </c>
      <c r="M58" s="100">
        <f t="shared" si="5"/>
        <v>133799094.96008962</v>
      </c>
      <c r="N58" s="100">
        <f t="shared" si="12"/>
        <v>-1047948.1016286188</v>
      </c>
      <c r="O58" s="100">
        <f t="shared" si="7"/>
        <v>106177007.95079815</v>
      </c>
      <c r="P58" s="100">
        <f t="shared" si="8"/>
        <v>105129059.84916954</v>
      </c>
      <c r="Q58" s="103">
        <f t="shared" si="9"/>
        <v>399651957.40804887</v>
      </c>
      <c r="R58" s="103">
        <f t="shared" si="13"/>
        <v>3040685.3092795713</v>
      </c>
      <c r="S58" s="103">
        <f>+'CAP-2 Program Expenses'!F73</f>
        <v>0</v>
      </c>
      <c r="T58" s="103">
        <f t="shared" si="10"/>
        <v>6768711.2844792064</v>
      </c>
      <c r="U58" s="1"/>
      <c r="V58" s="1"/>
      <c r="W58" s="103">
        <f>+Q58*'CAP-1 WACC'!$F$10/12</f>
        <v>732695.25524808944</v>
      </c>
      <c r="Z58" s="44">
        <v>6221512.1614215104</v>
      </c>
      <c r="AA58" s="47">
        <f t="shared" si="11"/>
        <v>-2493486.1862218753</v>
      </c>
    </row>
    <row r="59" spans="2:27" s="44" customFormat="1" ht="15.75" x14ac:dyDescent="0.25">
      <c r="B59" s="5">
        <f>+'CAP-2 Program Expenses'!A74</f>
        <v>46784</v>
      </c>
      <c r="C59" s="100">
        <f>+'CAP-2 Program Expenses'!B74</f>
        <v>0</v>
      </c>
      <c r="D59" s="100">
        <f>+'CAP-2 Program Expenses'!C74</f>
        <v>0</v>
      </c>
      <c r="E59" s="100">
        <f t="shared" si="4"/>
        <v>0</v>
      </c>
      <c r="F59" s="100">
        <f>'Financing Unamortized Balance'!AS54</f>
        <v>127126268.66837403</v>
      </c>
      <c r="G59" s="100">
        <f>+SUM($E$15:E59)+F59</f>
        <v>574489385.69233012</v>
      </c>
      <c r="H59" s="100">
        <f>((SUM($C$15:C58)+C59))/12/$F$5</f>
        <v>2953345.4079837115</v>
      </c>
      <c r="I59" s="100">
        <f>(SUM($D$15:D58)+D59)/12/$F$5</f>
        <v>774680.56721592345</v>
      </c>
      <c r="J59" s="100">
        <f>SUM($H$16:I59)</f>
        <v>76381194.726827145</v>
      </c>
      <c r="K59" s="100">
        <f>SUM($C$16:D59)-J59+F59</f>
        <v>498108190.96550286</v>
      </c>
      <c r="L59" s="100">
        <f t="shared" si="6"/>
        <v>127126268.66837403</v>
      </c>
      <c r="M59" s="100">
        <f t="shared" si="5"/>
        <v>130854294.64357367</v>
      </c>
      <c r="N59" s="100">
        <f t="shared" si="12"/>
        <v>-1047948.1016286188</v>
      </c>
      <c r="O59" s="100">
        <f t="shared" si="7"/>
        <v>105129059.84916954</v>
      </c>
      <c r="P59" s="100">
        <f t="shared" si="8"/>
        <v>104081111.74754092</v>
      </c>
      <c r="Q59" s="103">
        <f t="shared" si="9"/>
        <v>394027079.21796191</v>
      </c>
      <c r="R59" s="103">
        <f t="shared" si="13"/>
        <v>2997889.361049993</v>
      </c>
      <c r="S59" s="103">
        <f>+'CAP-2 Program Expenses'!F74</f>
        <v>0</v>
      </c>
      <c r="T59" s="103">
        <f t="shared" si="10"/>
        <v>6725915.3362496281</v>
      </c>
      <c r="U59" s="1"/>
      <c r="V59" s="1"/>
      <c r="W59" s="103">
        <f>+Q59*'CAP-1 WACC'!$F$10/12</f>
        <v>722382.97856626345</v>
      </c>
      <c r="Z59" s="44">
        <v>6221512.1614215104</v>
      </c>
      <c r="AA59" s="47">
        <f t="shared" si="11"/>
        <v>-2493486.1862218753</v>
      </c>
    </row>
    <row r="60" spans="2:27" s="44" customFormat="1" ht="15.75" x14ac:dyDescent="0.25">
      <c r="B60" s="104">
        <f>+'CAP-2 Program Expenses'!A75</f>
        <v>46813</v>
      </c>
      <c r="C60" s="105">
        <f>+'CAP-2 Program Expenses'!B75</f>
        <v>0</v>
      </c>
      <c r="D60" s="105">
        <f>+'CAP-2 Program Expenses'!C75</f>
        <v>0</v>
      </c>
      <c r="E60" s="105">
        <f t="shared" si="4"/>
        <v>0</v>
      </c>
      <c r="F60" s="105">
        <f>'Financing Unamortized Balance'!AT54</f>
        <v>124181468.35185806</v>
      </c>
      <c r="G60" s="105">
        <f>+SUM($E$15:E60)+F60</f>
        <v>571544585.3758142</v>
      </c>
      <c r="H60" s="105">
        <f>((SUM($C$15:C59)+C60))/12/$F$5</f>
        <v>2953345.4079837115</v>
      </c>
      <c r="I60" s="105">
        <f>(SUM($D$15:D59)+D60)/12/$F$5</f>
        <v>774680.56721592345</v>
      </c>
      <c r="J60" s="105">
        <f>SUM($H$16:I60)</f>
        <v>80109220.70202677</v>
      </c>
      <c r="K60" s="105">
        <f>SUM($C$16:D60)-J60+F60</f>
        <v>491435364.67378724</v>
      </c>
      <c r="L60" s="105">
        <f t="shared" si="6"/>
        <v>124181468.35185806</v>
      </c>
      <c r="M60" s="105">
        <f t="shared" si="5"/>
        <v>127909494.3270577</v>
      </c>
      <c r="N60" s="105">
        <f t="shared" si="12"/>
        <v>-1047948.1016286188</v>
      </c>
      <c r="O60" s="105">
        <f t="shared" si="7"/>
        <v>104081111.74754092</v>
      </c>
      <c r="P60" s="105">
        <f t="shared" si="8"/>
        <v>103033163.6459123</v>
      </c>
      <c r="Q60" s="108">
        <f t="shared" si="9"/>
        <v>388402201.02787495</v>
      </c>
      <c r="R60" s="108">
        <f t="shared" si="13"/>
        <v>2955093.4128204146</v>
      </c>
      <c r="S60" s="108">
        <f>+'CAP-2 Program Expenses'!F75</f>
        <v>0</v>
      </c>
      <c r="T60" s="108">
        <f t="shared" si="10"/>
        <v>6683119.3880200498</v>
      </c>
      <c r="U60" s="1"/>
      <c r="V60" s="1"/>
      <c r="W60" s="108">
        <f>+Q60*'CAP-1 WACC'!$F$10/12</f>
        <v>712070.70188443735</v>
      </c>
      <c r="Z60" s="44">
        <v>6221512.1614215104</v>
      </c>
      <c r="AA60" s="47">
        <f t="shared" si="11"/>
        <v>-2493486.1862218753</v>
      </c>
    </row>
    <row r="61" spans="2:27" s="44" customFormat="1" ht="15.75" x14ac:dyDescent="0.25">
      <c r="B61" s="5">
        <f>+'CAP-2 Program Expenses'!A76</f>
        <v>46844</v>
      </c>
      <c r="C61" s="100">
        <f>+'CAP-2 Program Expenses'!B76</f>
        <v>0</v>
      </c>
      <c r="D61" s="100">
        <f>+'CAP-2 Program Expenses'!C76</f>
        <v>0</v>
      </c>
      <c r="E61" s="100">
        <f t="shared" si="4"/>
        <v>0</v>
      </c>
      <c r="F61" s="100">
        <f>'Financing Unamortized Balance'!AU54</f>
        <v>121236668.03534207</v>
      </c>
      <c r="G61" s="100">
        <f>+SUM($E$15:E61)+F61</f>
        <v>568599785.05929816</v>
      </c>
      <c r="H61" s="100">
        <f>((SUM($C$15:C60)+C61))/12/$F$5</f>
        <v>2953345.4079837115</v>
      </c>
      <c r="I61" s="100">
        <f>(SUM($D$15:D60)+D61)/12/$F$5</f>
        <v>774680.56721592345</v>
      </c>
      <c r="J61" s="100">
        <f>SUM($H$16:I61)</f>
        <v>83837246.677226394</v>
      </c>
      <c r="K61" s="100">
        <f>SUM($C$16:D61)-J61+F61</f>
        <v>484762538.38207161</v>
      </c>
      <c r="L61" s="100">
        <f t="shared" si="6"/>
        <v>121236668.03534207</v>
      </c>
      <c r="M61" s="100">
        <f t="shared" si="5"/>
        <v>124964694.01054171</v>
      </c>
      <c r="N61" s="100">
        <f t="shared" si="12"/>
        <v>-1047948.1016286188</v>
      </c>
      <c r="O61" s="100">
        <f t="shared" si="7"/>
        <v>103033163.6459123</v>
      </c>
      <c r="P61" s="100">
        <f t="shared" si="8"/>
        <v>101985215.54428369</v>
      </c>
      <c r="Q61" s="103">
        <f t="shared" si="9"/>
        <v>382777322.83778793</v>
      </c>
      <c r="R61" s="103">
        <f t="shared" si="13"/>
        <v>2912297.4645908363</v>
      </c>
      <c r="S61" s="103">
        <f>+'CAP-2 Program Expenses'!F76</f>
        <v>0</v>
      </c>
      <c r="T61" s="103">
        <f t="shared" si="10"/>
        <v>6640323.4397904715</v>
      </c>
      <c r="U61" s="1"/>
      <c r="V61" s="1"/>
      <c r="W61" s="103">
        <f>+Q61*'CAP-1 WACC'!$F$10/12</f>
        <v>701758.42520261125</v>
      </c>
      <c r="Z61" s="44">
        <v>6221512.1614215104</v>
      </c>
      <c r="AA61" s="47">
        <f t="shared" si="11"/>
        <v>-2493486.1862218753</v>
      </c>
    </row>
    <row r="62" spans="2:27" s="44" customFormat="1" ht="15.75" x14ac:dyDescent="0.25">
      <c r="B62" s="5">
        <f>+'CAP-2 Program Expenses'!A77</f>
        <v>46874</v>
      </c>
      <c r="C62" s="100">
        <f>+'CAP-2 Program Expenses'!B77</f>
        <v>0</v>
      </c>
      <c r="D62" s="100">
        <f>+'CAP-2 Program Expenses'!C77</f>
        <v>0</v>
      </c>
      <c r="E62" s="100">
        <f t="shared" si="4"/>
        <v>0</v>
      </c>
      <c r="F62" s="100">
        <f>'Financing Unamortized Balance'!AV54</f>
        <v>118291867.71882612</v>
      </c>
      <c r="G62" s="100">
        <f>+SUM($E$15:E62)+F62</f>
        <v>565654984.74278224</v>
      </c>
      <c r="H62" s="100">
        <f>((SUM($C$15:C61)+C62))/12/$F$5</f>
        <v>2953345.4079837115</v>
      </c>
      <c r="I62" s="100">
        <f>(SUM($D$15:D61)+D62)/12/$F$5</f>
        <v>774680.56721592345</v>
      </c>
      <c r="J62" s="100">
        <f>SUM($H$16:I62)</f>
        <v>87565272.652426019</v>
      </c>
      <c r="K62" s="100">
        <f>SUM($C$16:D62)-J62+F62</f>
        <v>478089712.09035605</v>
      </c>
      <c r="L62" s="100">
        <f t="shared" si="6"/>
        <v>118291867.71882612</v>
      </c>
      <c r="M62" s="100">
        <f t="shared" si="5"/>
        <v>122019893.69402575</v>
      </c>
      <c r="N62" s="100">
        <f t="shared" si="12"/>
        <v>-1047948.1016286188</v>
      </c>
      <c r="O62" s="100">
        <f t="shared" si="7"/>
        <v>101985215.54428369</v>
      </c>
      <c r="P62" s="100">
        <f t="shared" si="8"/>
        <v>100937267.44265507</v>
      </c>
      <c r="Q62" s="103">
        <f t="shared" si="9"/>
        <v>377152444.64770097</v>
      </c>
      <c r="R62" s="103">
        <f t="shared" si="13"/>
        <v>2869501.516361258</v>
      </c>
      <c r="S62" s="103">
        <f>+'CAP-2 Program Expenses'!F77</f>
        <v>0</v>
      </c>
      <c r="T62" s="103">
        <f t="shared" si="10"/>
        <v>6597527.4915608931</v>
      </c>
      <c r="U62" s="1"/>
      <c r="V62" s="1"/>
      <c r="W62" s="103">
        <f>+Q62*'CAP-1 WACC'!$F$10/12</f>
        <v>691446.14852078503</v>
      </c>
      <c r="Z62" s="44">
        <v>6221512.1614215104</v>
      </c>
      <c r="AA62" s="47">
        <f t="shared" si="11"/>
        <v>-2493486.1862218753</v>
      </c>
    </row>
    <row r="63" spans="2:27" s="44" customFormat="1" ht="15.75" x14ac:dyDescent="0.25">
      <c r="B63" s="104">
        <f>+'CAP-2 Program Expenses'!A78</f>
        <v>46905</v>
      </c>
      <c r="C63" s="105">
        <f>+'CAP-2 Program Expenses'!B78</f>
        <v>0</v>
      </c>
      <c r="D63" s="105">
        <f>+'CAP-2 Program Expenses'!C78</f>
        <v>0</v>
      </c>
      <c r="E63" s="105">
        <f t="shared" si="4"/>
        <v>0</v>
      </c>
      <c r="F63" s="105">
        <f>'Financing Unamortized Balance'!AW54</f>
        <v>115347067.40231016</v>
      </c>
      <c r="G63" s="105">
        <f>+SUM($E$15:E63)+F63</f>
        <v>562710184.42626631</v>
      </c>
      <c r="H63" s="105">
        <f>((SUM($C$15:C62)+C63))/12/$F$5</f>
        <v>2953345.4079837115</v>
      </c>
      <c r="I63" s="105">
        <f>(SUM($D$15:D62)+D63)/12/$F$5</f>
        <v>774680.56721592345</v>
      </c>
      <c r="J63" s="105">
        <f>SUM($H$16:I63)</f>
        <v>91293298.627625644</v>
      </c>
      <c r="K63" s="105">
        <f>SUM($C$16:D63)-J63+F63</f>
        <v>471416885.79864049</v>
      </c>
      <c r="L63" s="105">
        <f t="shared" si="6"/>
        <v>115347067.40231016</v>
      </c>
      <c r="M63" s="105">
        <f t="shared" si="5"/>
        <v>119075093.3775098</v>
      </c>
      <c r="N63" s="105">
        <f t="shared" si="12"/>
        <v>-1047948.1016286188</v>
      </c>
      <c r="O63" s="105">
        <f t="shared" si="7"/>
        <v>100937267.44265507</v>
      </c>
      <c r="P63" s="105">
        <f t="shared" si="8"/>
        <v>99889319.341026455</v>
      </c>
      <c r="Q63" s="108">
        <f t="shared" si="9"/>
        <v>371527566.45761406</v>
      </c>
      <c r="R63" s="108">
        <f t="shared" si="13"/>
        <v>2826705.5681316801</v>
      </c>
      <c r="S63" s="108">
        <f>+'CAP-2 Program Expenses'!F78</f>
        <v>0</v>
      </c>
      <c r="T63" s="108">
        <f t="shared" si="10"/>
        <v>6554731.5433313157</v>
      </c>
      <c r="U63" s="1"/>
      <c r="V63" s="1"/>
      <c r="W63" s="108">
        <f>+Q63*'CAP-1 WACC'!$F$10/12</f>
        <v>681133.87183895905</v>
      </c>
      <c r="Z63" s="44">
        <v>6221512.1614215104</v>
      </c>
      <c r="AA63" s="47">
        <f t="shared" si="11"/>
        <v>-2493486.1862218753</v>
      </c>
    </row>
    <row r="64" spans="2:27" s="44" customFormat="1" ht="15.75" x14ac:dyDescent="0.25">
      <c r="B64" s="5">
        <f>+'CAP-2 Program Expenses'!A79</f>
        <v>46935</v>
      </c>
      <c r="C64" s="100">
        <f>+'CAP-2 Program Expenses'!B79</f>
        <v>0</v>
      </c>
      <c r="D64" s="100">
        <f>+'CAP-2 Program Expenses'!C79</f>
        <v>0</v>
      </c>
      <c r="E64" s="100">
        <f t="shared" si="4"/>
        <v>0</v>
      </c>
      <c r="F64" s="100">
        <f>'Financing Unamortized Balance'!AX54</f>
        <v>112402267.08579418</v>
      </c>
      <c r="G64" s="100">
        <f>+SUM($E$15:E64)+F64</f>
        <v>559765384.10975027</v>
      </c>
      <c r="H64" s="100">
        <f>((SUM($C$15:C63)+C64))/12/$F$5</f>
        <v>2953345.4079837115</v>
      </c>
      <c r="I64" s="100">
        <f>(SUM($D$15:D63)+D64)/12/$F$5</f>
        <v>774680.56721592345</v>
      </c>
      <c r="J64" s="100">
        <f>SUM($H$16:I64)</f>
        <v>95021324.602825269</v>
      </c>
      <c r="K64" s="100">
        <f>SUM($C$16:D64)-J64+F64</f>
        <v>464744059.50692487</v>
      </c>
      <c r="L64" s="100">
        <f t="shared" si="6"/>
        <v>112402267.08579418</v>
      </c>
      <c r="M64" s="100">
        <f t="shared" si="5"/>
        <v>116130293.06099382</v>
      </c>
      <c r="N64" s="100">
        <f t="shared" si="12"/>
        <v>-1047948.1016286188</v>
      </c>
      <c r="O64" s="100">
        <f t="shared" si="7"/>
        <v>99889319.341026455</v>
      </c>
      <c r="P64" s="100">
        <f t="shared" si="8"/>
        <v>98841371.239397839</v>
      </c>
      <c r="Q64" s="103">
        <f t="shared" si="9"/>
        <v>365902688.26752704</v>
      </c>
      <c r="R64" s="103">
        <f t="shared" si="13"/>
        <v>2783909.6199021013</v>
      </c>
      <c r="S64" s="103">
        <f>+'CAP-2 Program Expenses'!F79</f>
        <v>0</v>
      </c>
      <c r="T64" s="103">
        <f t="shared" si="10"/>
        <v>6511935.5951017365</v>
      </c>
      <c r="U64" s="1"/>
      <c r="V64" s="1"/>
      <c r="W64" s="103">
        <f>+Q64*'CAP-1 WACC'!$F$10/12</f>
        <v>670821.59515713283</v>
      </c>
      <c r="Z64" s="44">
        <v>6221512.1614215104</v>
      </c>
      <c r="AA64" s="47">
        <f t="shared" si="11"/>
        <v>-2493486.1862218753</v>
      </c>
    </row>
    <row r="65" spans="2:27" s="44" customFormat="1" ht="15.75" x14ac:dyDescent="0.25">
      <c r="B65" s="5">
        <f>+'CAP-2 Program Expenses'!A80</f>
        <v>46966</v>
      </c>
      <c r="C65" s="100">
        <f>+'CAP-2 Program Expenses'!B80</f>
        <v>0</v>
      </c>
      <c r="D65" s="100">
        <f>+'CAP-2 Program Expenses'!C80</f>
        <v>0</v>
      </c>
      <c r="E65" s="100">
        <f t="shared" si="4"/>
        <v>0</v>
      </c>
      <c r="F65" s="100">
        <f>'Financing Unamortized Balance'!AY54</f>
        <v>109457466.76927823</v>
      </c>
      <c r="G65" s="100">
        <f>+SUM($E$15:E65)+F65</f>
        <v>556820583.79323435</v>
      </c>
      <c r="H65" s="100">
        <f>((SUM($C$15:C64)+C65))/12/$F$5</f>
        <v>2953345.4079837115</v>
      </c>
      <c r="I65" s="100">
        <f>(SUM($D$15:D64)+D65)/12/$F$5</f>
        <v>774680.56721592345</v>
      </c>
      <c r="J65" s="100">
        <f>SUM($H$16:I65)</f>
        <v>98749350.578024894</v>
      </c>
      <c r="K65" s="100">
        <f>SUM($C$16:D65)-J65+F65</f>
        <v>458071233.21520931</v>
      </c>
      <c r="L65" s="100">
        <f t="shared" si="6"/>
        <v>109457466.76927823</v>
      </c>
      <c r="M65" s="100">
        <f t="shared" si="5"/>
        <v>113185492.74447787</v>
      </c>
      <c r="N65" s="100">
        <f t="shared" si="12"/>
        <v>-1047948.1016286188</v>
      </c>
      <c r="O65" s="100">
        <f t="shared" si="7"/>
        <v>98841371.239397839</v>
      </c>
      <c r="P65" s="100">
        <f t="shared" si="8"/>
        <v>97793423.137769222</v>
      </c>
      <c r="Q65" s="103">
        <f t="shared" si="9"/>
        <v>360277810.07744008</v>
      </c>
      <c r="R65" s="103">
        <f t="shared" si="13"/>
        <v>2741113.671672523</v>
      </c>
      <c r="S65" s="103">
        <f>+'CAP-2 Program Expenses'!F80</f>
        <v>0</v>
      </c>
      <c r="T65" s="103">
        <f t="shared" si="10"/>
        <v>6469139.6468721582</v>
      </c>
      <c r="U65" s="1"/>
      <c r="V65" s="1"/>
      <c r="W65" s="103">
        <f>+Q65*'CAP-1 WACC'!$F$10/12</f>
        <v>660509.31847530685</v>
      </c>
      <c r="Z65" s="44">
        <v>6221512.1614215104</v>
      </c>
      <c r="AA65" s="47">
        <f t="shared" si="11"/>
        <v>-2493486.1862218753</v>
      </c>
    </row>
    <row r="66" spans="2:27" s="44" customFormat="1" ht="15.75" x14ac:dyDescent="0.25">
      <c r="B66" s="104">
        <f>+'CAP-2 Program Expenses'!A81</f>
        <v>46997</v>
      </c>
      <c r="C66" s="105">
        <f>+'CAP-2 Program Expenses'!B81</f>
        <v>0</v>
      </c>
      <c r="D66" s="105">
        <f>+'CAP-2 Program Expenses'!C81</f>
        <v>0</v>
      </c>
      <c r="E66" s="105">
        <f t="shared" si="4"/>
        <v>0</v>
      </c>
      <c r="F66" s="105">
        <f>'Financing Unamortized Balance'!AZ54</f>
        <v>106512666.45276225</v>
      </c>
      <c r="G66" s="105">
        <f>+SUM($E$15:E66)+F66</f>
        <v>553875783.47671843</v>
      </c>
      <c r="H66" s="105">
        <f>((SUM($C$15:C65)+C66))/12/$F$5</f>
        <v>2953345.4079837115</v>
      </c>
      <c r="I66" s="105">
        <f>(SUM($D$15:D65)+D66)/12/$F$5</f>
        <v>774680.56721592345</v>
      </c>
      <c r="J66" s="105">
        <f>SUM($H$16:I66)</f>
        <v>102477376.55322452</v>
      </c>
      <c r="K66" s="105">
        <f>SUM($C$16:D66)-J66+F66</f>
        <v>451398406.92349368</v>
      </c>
      <c r="L66" s="105">
        <f t="shared" si="6"/>
        <v>106512666.45276225</v>
      </c>
      <c r="M66" s="105">
        <f t="shared" si="5"/>
        <v>110240692.42796189</v>
      </c>
      <c r="N66" s="105">
        <f t="shared" si="12"/>
        <v>-1047948.1016286188</v>
      </c>
      <c r="O66" s="105">
        <f t="shared" si="7"/>
        <v>97793423.137769222</v>
      </c>
      <c r="P66" s="105">
        <f t="shared" si="8"/>
        <v>96745475.036140606</v>
      </c>
      <c r="Q66" s="108">
        <f t="shared" si="9"/>
        <v>354652931.88735306</v>
      </c>
      <c r="R66" s="108">
        <f t="shared" si="13"/>
        <v>2698317.7234429442</v>
      </c>
      <c r="S66" s="108">
        <f>+'CAP-2 Program Expenses'!F81</f>
        <v>0</v>
      </c>
      <c r="T66" s="108">
        <f t="shared" si="10"/>
        <v>6426343.6986425798</v>
      </c>
      <c r="U66" s="1"/>
      <c r="V66" s="1"/>
      <c r="W66" s="108">
        <f>+Q66*'CAP-1 WACC'!$F$10/12</f>
        <v>650197.04179348063</v>
      </c>
      <c r="Z66" s="44">
        <v>6221512.1614215104</v>
      </c>
      <c r="AA66" s="47">
        <f t="shared" si="11"/>
        <v>-2493486.1862218753</v>
      </c>
    </row>
    <row r="67" spans="2:27" s="44" customFormat="1" ht="15.75" x14ac:dyDescent="0.25">
      <c r="B67" s="5">
        <f>+'CAP-2 Program Expenses'!A82</f>
        <v>47027</v>
      </c>
      <c r="C67" s="100">
        <f>+'CAP-2 Program Expenses'!B82</f>
        <v>0</v>
      </c>
      <c r="D67" s="100">
        <f>+'CAP-2 Program Expenses'!C82</f>
        <v>0</v>
      </c>
      <c r="E67" s="100">
        <f t="shared" si="4"/>
        <v>0</v>
      </c>
      <c r="F67" s="100">
        <f>'Financing Unamortized Balance'!BA54</f>
        <v>103567866.13624634</v>
      </c>
      <c r="G67" s="100">
        <f>+SUM($E$15:E67)+F67</f>
        <v>550930983.1602025</v>
      </c>
      <c r="H67" s="100">
        <f>((SUM($C$15:C66)+C67))/12/$F$5</f>
        <v>2953345.4079837115</v>
      </c>
      <c r="I67" s="100">
        <f>(SUM($D$15:D66)+D67)/12/$F$5</f>
        <v>774680.56721592345</v>
      </c>
      <c r="J67" s="100">
        <f>SUM($H$16:I67)</f>
        <v>106205402.52842414</v>
      </c>
      <c r="K67" s="100">
        <f>SUM($C$16:D67)-J67+F67</f>
        <v>444725580.63177812</v>
      </c>
      <c r="L67" s="100">
        <f t="shared" si="6"/>
        <v>103567866.13624634</v>
      </c>
      <c r="M67" s="100">
        <f t="shared" si="5"/>
        <v>107295892.11144598</v>
      </c>
      <c r="N67" s="100">
        <f t="shared" si="12"/>
        <v>-1047948.1016286188</v>
      </c>
      <c r="O67" s="100">
        <f t="shared" si="7"/>
        <v>96745475.036140606</v>
      </c>
      <c r="P67" s="100">
        <f t="shared" si="8"/>
        <v>95697526.934511989</v>
      </c>
      <c r="Q67" s="103">
        <f t="shared" si="9"/>
        <v>349028053.6972661</v>
      </c>
      <c r="R67" s="103">
        <f t="shared" si="13"/>
        <v>2655521.7752133659</v>
      </c>
      <c r="S67" s="103">
        <f>+'CAP-2 Program Expenses'!F82</f>
        <v>0</v>
      </c>
      <c r="T67" s="103">
        <f t="shared" si="10"/>
        <v>6383547.7504130006</v>
      </c>
      <c r="U67" s="1"/>
      <c r="V67" s="1"/>
      <c r="W67" s="103">
        <f>+Q67*'CAP-1 WACC'!$F$10/12</f>
        <v>639884.76511165441</v>
      </c>
      <c r="Z67" s="44">
        <v>6221512.1614215104</v>
      </c>
      <c r="AA67" s="47">
        <f t="shared" si="11"/>
        <v>-2493486.1862218753</v>
      </c>
    </row>
    <row r="68" spans="2:27" s="44" customFormat="1" ht="15.75" x14ac:dyDescent="0.25">
      <c r="B68" s="5">
        <f>+'CAP-2 Program Expenses'!A83</f>
        <v>47058</v>
      </c>
      <c r="C68" s="100">
        <f>+'CAP-2 Program Expenses'!B83</f>
        <v>0</v>
      </c>
      <c r="D68" s="100">
        <f>+'CAP-2 Program Expenses'!C83</f>
        <v>0</v>
      </c>
      <c r="E68" s="100">
        <f t="shared" si="4"/>
        <v>0</v>
      </c>
      <c r="F68" s="100">
        <f>'Financing Unamortized Balance'!BB54</f>
        <v>100623065.81973036</v>
      </c>
      <c r="G68" s="100">
        <f>+SUM($E$15:E68)+F68</f>
        <v>547986182.84368646</v>
      </c>
      <c r="H68" s="100">
        <f>((SUM($C$15:C67)+C68))/12/$F$5</f>
        <v>2953345.4079837115</v>
      </c>
      <c r="I68" s="100">
        <f>(SUM($D$15:D67)+D68)/12/$F$5</f>
        <v>774680.56721592345</v>
      </c>
      <c r="J68" s="100">
        <f>SUM($H$16:I68)</f>
        <v>109933428.50362377</v>
      </c>
      <c r="K68" s="100">
        <f>SUM($C$16:D68)-J68+F68</f>
        <v>438052754.3400625</v>
      </c>
      <c r="L68" s="100">
        <f t="shared" si="6"/>
        <v>100623065.81973036</v>
      </c>
      <c r="M68" s="100">
        <f t="shared" si="5"/>
        <v>104351091.79493</v>
      </c>
      <c r="N68" s="100">
        <f t="shared" si="12"/>
        <v>-1047948.1016286188</v>
      </c>
      <c r="O68" s="100">
        <f t="shared" si="7"/>
        <v>95697526.934511989</v>
      </c>
      <c r="P68" s="100">
        <f t="shared" si="8"/>
        <v>94649578.832883373</v>
      </c>
      <c r="Q68" s="103">
        <f t="shared" si="9"/>
        <v>343403175.50717914</v>
      </c>
      <c r="R68" s="103">
        <f t="shared" si="13"/>
        <v>2612725.8269837876</v>
      </c>
      <c r="S68" s="103">
        <f>+'CAP-2 Program Expenses'!F83</f>
        <v>0</v>
      </c>
      <c r="T68" s="103">
        <f t="shared" si="10"/>
        <v>6340751.8021834232</v>
      </c>
      <c r="U68" s="1"/>
      <c r="V68" s="1"/>
      <c r="W68" s="103">
        <f>+Q68*'CAP-1 WACC'!$F$10/12</f>
        <v>629572.48842982843</v>
      </c>
      <c r="Z68" s="44">
        <v>6221512.1614215104</v>
      </c>
      <c r="AA68" s="47">
        <f t="shared" si="11"/>
        <v>-2493486.1862218753</v>
      </c>
    </row>
    <row r="69" spans="2:27" s="44" customFormat="1" ht="15.75" x14ac:dyDescent="0.25">
      <c r="B69" s="104">
        <f>+'CAP-2 Program Expenses'!A84</f>
        <v>47088</v>
      </c>
      <c r="C69" s="105">
        <f>+'CAP-2 Program Expenses'!B84</f>
        <v>0</v>
      </c>
      <c r="D69" s="105">
        <f>+'CAP-2 Program Expenses'!C84</f>
        <v>0</v>
      </c>
      <c r="E69" s="105">
        <f t="shared" si="4"/>
        <v>0</v>
      </c>
      <c r="F69" s="105">
        <f>'Financing Unamortized Balance'!BC54</f>
        <v>97678265.503214389</v>
      </c>
      <c r="G69" s="105">
        <f>+SUM($E$15:E69)+F69</f>
        <v>545041382.52717054</v>
      </c>
      <c r="H69" s="105">
        <f>((SUM($C$15:C68)+C69))/12/$F$5</f>
        <v>2953345.4079837115</v>
      </c>
      <c r="I69" s="105">
        <f>(SUM($D$15:D68)+D69)/12/$F$5</f>
        <v>774680.56721592345</v>
      </c>
      <c r="J69" s="105">
        <f>SUM($H$16:I69)</f>
        <v>113661454.47882339</v>
      </c>
      <c r="K69" s="105">
        <f>SUM($C$16:D69)-J69+F69</f>
        <v>431379928.04834688</v>
      </c>
      <c r="L69" s="105">
        <f t="shared" si="6"/>
        <v>97678265.503214389</v>
      </c>
      <c r="M69" s="105">
        <f t="shared" si="5"/>
        <v>101406291.47841403</v>
      </c>
      <c r="N69" s="105">
        <f t="shared" si="12"/>
        <v>-1047948.1016286188</v>
      </c>
      <c r="O69" s="105">
        <f t="shared" si="7"/>
        <v>94649578.832883373</v>
      </c>
      <c r="P69" s="105">
        <f t="shared" si="8"/>
        <v>93601630.731254756</v>
      </c>
      <c r="Q69" s="108">
        <f t="shared" si="9"/>
        <v>337778297.31709212</v>
      </c>
      <c r="R69" s="108">
        <f t="shared" si="13"/>
        <v>2569929.8787542088</v>
      </c>
      <c r="S69" s="108">
        <f>+'CAP-2 Program Expenses'!F84</f>
        <v>0</v>
      </c>
      <c r="T69" s="108">
        <f t="shared" si="10"/>
        <v>6297955.8539538439</v>
      </c>
      <c r="U69" s="1"/>
      <c r="V69" s="1"/>
      <c r="W69" s="108">
        <f>+Q69*'CAP-1 WACC'!$F$10/12</f>
        <v>619260.21174800221</v>
      </c>
      <c r="Z69" s="44">
        <v>6221512.1614215104</v>
      </c>
      <c r="AA69" s="47">
        <f t="shared" si="11"/>
        <v>-2493486.1862218753</v>
      </c>
    </row>
    <row r="70" spans="2:27" s="44" customFormat="1" ht="15.75" x14ac:dyDescent="0.25">
      <c r="B70" s="5">
        <f>+'CAP-2 Program Expenses'!A85</f>
        <v>47119</v>
      </c>
      <c r="C70" s="100">
        <f>+'CAP-2 Program Expenses'!B85</f>
        <v>0</v>
      </c>
      <c r="D70" s="100">
        <f>+'CAP-2 Program Expenses'!C85</f>
        <v>0</v>
      </c>
      <c r="E70" s="100">
        <f t="shared" si="4"/>
        <v>0</v>
      </c>
      <c r="F70" s="100">
        <f>'Financing Unamortized Balance'!BD54</f>
        <v>94733465.186698422</v>
      </c>
      <c r="G70" s="100">
        <f>+SUM($E$15:E70)+F70</f>
        <v>542096582.2106545</v>
      </c>
      <c r="H70" s="100">
        <f>((SUM($C$15:C69)+C70))/12/$F$5</f>
        <v>2953345.4079837115</v>
      </c>
      <c r="I70" s="100">
        <f>(SUM($D$15:D69)+D70)/12/$F$5</f>
        <v>774680.56721592345</v>
      </c>
      <c r="J70" s="100">
        <f>SUM($H$16:I70)</f>
        <v>117389480.45402302</v>
      </c>
      <c r="K70" s="100">
        <f>SUM($C$16:D70)-J70+F70</f>
        <v>424707101.75663137</v>
      </c>
      <c r="L70" s="100">
        <f t="shared" si="6"/>
        <v>94733465.186698422</v>
      </c>
      <c r="M70" s="100">
        <f t="shared" si="5"/>
        <v>98461491.161898062</v>
      </c>
      <c r="N70" s="100">
        <f t="shared" si="12"/>
        <v>-1047948.1016286188</v>
      </c>
      <c r="O70" s="100">
        <f t="shared" si="7"/>
        <v>93601630.731254756</v>
      </c>
      <c r="P70" s="100">
        <f t="shared" si="8"/>
        <v>92553682.62962614</v>
      </c>
      <c r="Q70" s="103">
        <f t="shared" si="9"/>
        <v>332153419.12700522</v>
      </c>
      <c r="R70" s="103">
        <f t="shared" si="13"/>
        <v>2527133.9305246309</v>
      </c>
      <c r="S70" s="103">
        <f>+'CAP-2 Program Expenses'!F85</f>
        <v>0</v>
      </c>
      <c r="T70" s="103">
        <f t="shared" si="10"/>
        <v>6255159.9057242665</v>
      </c>
      <c r="U70" s="1"/>
      <c r="V70" s="1"/>
      <c r="W70" s="103">
        <f>+Q70*'CAP-1 WACC'!$F$10/12</f>
        <v>608947.93506617623</v>
      </c>
      <c r="Z70" s="44">
        <v>6221512.1614215104</v>
      </c>
      <c r="AA70" s="47">
        <f t="shared" si="11"/>
        <v>-2493486.1862218753</v>
      </c>
    </row>
    <row r="71" spans="2:27" s="44" customFormat="1" ht="15.75" x14ac:dyDescent="0.25">
      <c r="B71" s="5">
        <f>+'CAP-2 Program Expenses'!A86</f>
        <v>47150</v>
      </c>
      <c r="C71" s="100">
        <f>+'CAP-2 Program Expenses'!B86</f>
        <v>0</v>
      </c>
      <c r="D71" s="100">
        <f>+'CAP-2 Program Expenses'!C86</f>
        <v>0</v>
      </c>
      <c r="E71" s="100">
        <f t="shared" si="4"/>
        <v>0</v>
      </c>
      <c r="F71" s="100">
        <f>'Financing Unamortized Balance'!BE54</f>
        <v>91788664.870182484</v>
      </c>
      <c r="G71" s="100">
        <f>+SUM($E$15:E71)+F71</f>
        <v>539151781.89413857</v>
      </c>
      <c r="H71" s="100">
        <f>((SUM($C$15:C70)+C71))/12/$F$5</f>
        <v>2953345.4079837115</v>
      </c>
      <c r="I71" s="100">
        <f>(SUM($D$15:D70)+D71)/12/$F$5</f>
        <v>774680.56721592345</v>
      </c>
      <c r="J71" s="100">
        <f>SUM($H$16:I71)</f>
        <v>121117506.42922264</v>
      </c>
      <c r="K71" s="100">
        <f>SUM($C$16:D71)-J71+F71</f>
        <v>418034275.46491575</v>
      </c>
      <c r="L71" s="100">
        <f t="shared" si="6"/>
        <v>91788664.870182484</v>
      </c>
      <c r="M71" s="100">
        <f t="shared" si="5"/>
        <v>95516690.845382124</v>
      </c>
      <c r="N71" s="100">
        <f t="shared" si="12"/>
        <v>-1047948.1016286188</v>
      </c>
      <c r="O71" s="100">
        <f t="shared" si="7"/>
        <v>92553682.62962614</v>
      </c>
      <c r="P71" s="100">
        <f t="shared" si="8"/>
        <v>91505734.527997524</v>
      </c>
      <c r="Q71" s="103">
        <f t="shared" si="9"/>
        <v>326528540.93691826</v>
      </c>
      <c r="R71" s="103">
        <f t="shared" si="13"/>
        <v>2484337.9822950526</v>
      </c>
      <c r="S71" s="103">
        <f>+'CAP-2 Program Expenses'!F86</f>
        <v>0</v>
      </c>
      <c r="T71" s="103">
        <f t="shared" si="10"/>
        <v>6212363.9574946873</v>
      </c>
      <c r="U71" s="1"/>
      <c r="V71" s="1"/>
      <c r="W71" s="103">
        <f>+Q71*'CAP-1 WACC'!$F$10/12</f>
        <v>598635.65838435013</v>
      </c>
      <c r="Z71" s="44">
        <v>6221512.1614215104</v>
      </c>
      <c r="AA71" s="47">
        <f t="shared" si="11"/>
        <v>-2493486.1862218753</v>
      </c>
    </row>
    <row r="72" spans="2:27" s="44" customFormat="1" ht="15.75" x14ac:dyDescent="0.25">
      <c r="B72" s="104">
        <f>+'CAP-2 Program Expenses'!A87</f>
        <v>47178</v>
      </c>
      <c r="C72" s="105">
        <f>+'CAP-2 Program Expenses'!B87</f>
        <v>0</v>
      </c>
      <c r="D72" s="105">
        <f>+'CAP-2 Program Expenses'!C87</f>
        <v>0</v>
      </c>
      <c r="E72" s="105">
        <f t="shared" si="4"/>
        <v>0</v>
      </c>
      <c r="F72" s="105">
        <f>'Financing Unamortized Balance'!BF54</f>
        <v>88843864.553666487</v>
      </c>
      <c r="G72" s="105">
        <f>+SUM($E$15:E72)+F72</f>
        <v>536206981.57762259</v>
      </c>
      <c r="H72" s="105">
        <f>((SUM($C$15:C71)+C72))/12/$F$5</f>
        <v>2953345.4079837115</v>
      </c>
      <c r="I72" s="105">
        <f>(SUM($D$15:D71)+D72)/12/$F$5</f>
        <v>774680.56721592345</v>
      </c>
      <c r="J72" s="105">
        <f>SUM($H$16:I72)</f>
        <v>124845532.40442227</v>
      </c>
      <c r="K72" s="105">
        <f>SUM($C$16:D72)-J72+F72</f>
        <v>411361449.17320013</v>
      </c>
      <c r="L72" s="105">
        <f t="shared" si="6"/>
        <v>88843864.553666487</v>
      </c>
      <c r="M72" s="105">
        <f t="shared" si="5"/>
        <v>92571890.528866127</v>
      </c>
      <c r="N72" s="105">
        <f t="shared" si="12"/>
        <v>-1047948.1016286188</v>
      </c>
      <c r="O72" s="105">
        <f t="shared" si="7"/>
        <v>91505734.527997524</v>
      </c>
      <c r="P72" s="105">
        <f t="shared" si="8"/>
        <v>90457786.426368907</v>
      </c>
      <c r="Q72" s="108">
        <f t="shared" si="9"/>
        <v>320903662.74683124</v>
      </c>
      <c r="R72" s="108">
        <f t="shared" si="13"/>
        <v>2441542.0340654738</v>
      </c>
      <c r="S72" s="108">
        <f>+'CAP-2 Program Expenses'!F87</f>
        <v>0</v>
      </c>
      <c r="T72" s="108">
        <f t="shared" si="10"/>
        <v>6169568.009265109</v>
      </c>
      <c r="U72" s="1"/>
      <c r="V72" s="1"/>
      <c r="W72" s="108">
        <f>+Q72*'CAP-1 WACC'!$F$10/12</f>
        <v>588323.38170252391</v>
      </c>
      <c r="Z72" s="44">
        <v>6221512.1614215104</v>
      </c>
      <c r="AA72" s="47">
        <f t="shared" si="11"/>
        <v>-2493486.1862218753</v>
      </c>
    </row>
    <row r="73" spans="2:27" s="44" customFormat="1" ht="15.75" x14ac:dyDescent="0.25">
      <c r="B73" s="5">
        <f>+'CAP-2 Program Expenses'!A88</f>
        <v>47209</v>
      </c>
      <c r="C73" s="100">
        <f>+'CAP-2 Program Expenses'!B88</f>
        <v>0</v>
      </c>
      <c r="D73" s="100">
        <f>+'CAP-2 Program Expenses'!C88</f>
        <v>0</v>
      </c>
      <c r="E73" s="100">
        <f t="shared" si="4"/>
        <v>0</v>
      </c>
      <c r="F73" s="100">
        <f>'Financing Unamortized Balance'!BG54</f>
        <v>85899064.237150535</v>
      </c>
      <c r="G73" s="100">
        <f>+SUM($E$15:E73)+F73</f>
        <v>533262181.26110667</v>
      </c>
      <c r="H73" s="100">
        <f>((SUM($C$15:C72)+C73))/12/$F$5</f>
        <v>2953345.4079837115</v>
      </c>
      <c r="I73" s="100">
        <f>(SUM($D$15:D72)+D73)/12/$F$5</f>
        <v>774680.56721592345</v>
      </c>
      <c r="J73" s="100">
        <f>SUM($H$16:I73)</f>
        <v>128573558.37962189</v>
      </c>
      <c r="K73" s="100">
        <f>SUM($C$16:D73)-J73+F73</f>
        <v>404688622.88148463</v>
      </c>
      <c r="L73" s="100">
        <f t="shared" si="6"/>
        <v>85899064.237150535</v>
      </c>
      <c r="M73" s="100">
        <f t="shared" si="5"/>
        <v>89627090.212350175</v>
      </c>
      <c r="N73" s="100">
        <f t="shared" si="12"/>
        <v>-1047948.1016286188</v>
      </c>
      <c r="O73" s="100">
        <f t="shared" si="7"/>
        <v>90457786.426368907</v>
      </c>
      <c r="P73" s="100">
        <f t="shared" si="8"/>
        <v>89409838.324740291</v>
      </c>
      <c r="Q73" s="103">
        <f t="shared" si="9"/>
        <v>315278784.55674434</v>
      </c>
      <c r="R73" s="103">
        <f t="shared" si="13"/>
        <v>2398746.0858358964</v>
      </c>
      <c r="S73" s="103">
        <f>+'CAP-2 Program Expenses'!F88</f>
        <v>0</v>
      </c>
      <c r="T73" s="103">
        <f t="shared" si="10"/>
        <v>6126772.0610355316</v>
      </c>
      <c r="U73" s="1"/>
      <c r="V73" s="1"/>
      <c r="W73" s="103">
        <f>+Q73*'CAP-1 WACC'!$F$10/12</f>
        <v>578011.10502069793</v>
      </c>
      <c r="Z73" s="44">
        <v>6221512.1614215104</v>
      </c>
      <c r="AA73" s="47">
        <f t="shared" si="11"/>
        <v>-2493486.1862218753</v>
      </c>
    </row>
    <row r="74" spans="2:27" s="44" customFormat="1" ht="15.75" x14ac:dyDescent="0.25">
      <c r="B74" s="5">
        <f>+'CAP-2 Program Expenses'!A89</f>
        <v>47239</v>
      </c>
      <c r="C74" s="100">
        <f>+'CAP-2 Program Expenses'!B89</f>
        <v>0</v>
      </c>
      <c r="D74" s="100">
        <f>+'CAP-2 Program Expenses'!C89</f>
        <v>0</v>
      </c>
      <c r="E74" s="100">
        <f t="shared" si="4"/>
        <v>0</v>
      </c>
      <c r="F74" s="100">
        <f>'Financing Unamortized Balance'!BH54</f>
        <v>82954263.920634598</v>
      </c>
      <c r="G74" s="100">
        <f>+SUM($E$15:E74)+F74</f>
        <v>530317380.94459069</v>
      </c>
      <c r="H74" s="100">
        <f>((SUM($C$15:C73)+C74))/12/$F$5</f>
        <v>2953345.4079837115</v>
      </c>
      <c r="I74" s="100">
        <f>(SUM($D$15:D73)+D74)/12/$F$5</f>
        <v>774680.56721592345</v>
      </c>
      <c r="J74" s="100">
        <f>SUM($H$16:I74)</f>
        <v>132301584.35482152</v>
      </c>
      <c r="K74" s="100">
        <f>SUM($C$16:D74)-J74+F74</f>
        <v>398015796.58976901</v>
      </c>
      <c r="L74" s="100">
        <f t="shared" si="6"/>
        <v>82954263.920634598</v>
      </c>
      <c r="M74" s="100">
        <f t="shared" si="5"/>
        <v>86682289.895834237</v>
      </c>
      <c r="N74" s="100">
        <f t="shared" si="12"/>
        <v>-1047948.1016286188</v>
      </c>
      <c r="O74" s="100">
        <f t="shared" si="7"/>
        <v>89409838.324740291</v>
      </c>
      <c r="P74" s="100">
        <f t="shared" si="8"/>
        <v>88361890.223111674</v>
      </c>
      <c r="Q74" s="103">
        <f t="shared" si="9"/>
        <v>309653906.36665732</v>
      </c>
      <c r="R74" s="103">
        <f t="shared" si="13"/>
        <v>2355950.1376063176</v>
      </c>
      <c r="S74" s="103">
        <f>+'CAP-2 Program Expenses'!F89</f>
        <v>0</v>
      </c>
      <c r="T74" s="103">
        <f t="shared" si="10"/>
        <v>6083976.1128059532</v>
      </c>
      <c r="U74" s="1"/>
      <c r="V74" s="1"/>
      <c r="W74" s="103">
        <f>+Q74*'CAP-1 WACC'!$F$10/12</f>
        <v>567698.82833887171</v>
      </c>
      <c r="Z74" s="44">
        <v>6221512.1614215104</v>
      </c>
      <c r="AA74" s="47">
        <f t="shared" si="11"/>
        <v>-2493486.1862218753</v>
      </c>
    </row>
    <row r="75" spans="2:27" s="44" customFormat="1" ht="15.75" x14ac:dyDescent="0.25">
      <c r="B75" s="104">
        <f>+'CAP-2 Program Expenses'!A90</f>
        <v>47270</v>
      </c>
      <c r="C75" s="105">
        <f>+'CAP-2 Program Expenses'!B90</f>
        <v>0</v>
      </c>
      <c r="D75" s="105">
        <f>+'CAP-2 Program Expenses'!C90</f>
        <v>0</v>
      </c>
      <c r="E75" s="105">
        <f t="shared" si="4"/>
        <v>0</v>
      </c>
      <c r="F75" s="105">
        <f>'Financing Unamortized Balance'!BI54</f>
        <v>80009463.604118586</v>
      </c>
      <c r="G75" s="105">
        <f>+SUM($E$15:E75)+F75</f>
        <v>527372580.62807471</v>
      </c>
      <c r="H75" s="105">
        <f>((SUM($C$15:C74)+C75))/12/$F$5</f>
        <v>2953345.4079837115</v>
      </c>
      <c r="I75" s="105">
        <f>(SUM($D$15:D74)+D75)/12/$F$5</f>
        <v>774680.56721592345</v>
      </c>
      <c r="J75" s="105">
        <f>SUM($H$16:I75)</f>
        <v>136029610.33002114</v>
      </c>
      <c r="K75" s="105">
        <f>SUM($C$16:D75)-J75+F75</f>
        <v>391342970.29805338</v>
      </c>
      <c r="L75" s="105">
        <f t="shared" si="6"/>
        <v>80009463.604118586</v>
      </c>
      <c r="M75" s="105">
        <f t="shared" si="5"/>
        <v>83737489.579318225</v>
      </c>
      <c r="N75" s="105">
        <f t="shared" si="12"/>
        <v>-1047948.1016286188</v>
      </c>
      <c r="O75" s="105">
        <f t="shared" si="7"/>
        <v>88361890.223111674</v>
      </c>
      <c r="P75" s="105">
        <f t="shared" si="8"/>
        <v>87313942.121483058</v>
      </c>
      <c r="Q75" s="108">
        <f t="shared" si="9"/>
        <v>304029028.1765703</v>
      </c>
      <c r="R75" s="108">
        <f t="shared" si="13"/>
        <v>2313154.1893767389</v>
      </c>
      <c r="S75" s="108">
        <f>+'CAP-2 Program Expenses'!F90</f>
        <v>0</v>
      </c>
      <c r="T75" s="108">
        <f t="shared" si="10"/>
        <v>6041180.164576374</v>
      </c>
      <c r="U75" s="1"/>
      <c r="V75" s="1"/>
      <c r="W75" s="108">
        <f>+Q75*'CAP-1 WACC'!$F$10/12</f>
        <v>557386.55165704549</v>
      </c>
      <c r="Z75" s="44">
        <v>6221512.1614215104</v>
      </c>
      <c r="AA75" s="47">
        <f t="shared" si="11"/>
        <v>-2493486.1862218753</v>
      </c>
    </row>
    <row r="76" spans="2:27" s="44" customFormat="1" ht="15.75" x14ac:dyDescent="0.25">
      <c r="B76" s="5">
        <f>+'CAP-2 Program Expenses'!A91</f>
        <v>47300</v>
      </c>
      <c r="C76" s="100">
        <f>+'CAP-2 Program Expenses'!B91</f>
        <v>0</v>
      </c>
      <c r="D76" s="100">
        <f>+'CAP-2 Program Expenses'!C91</f>
        <v>0</v>
      </c>
      <c r="E76" s="100">
        <f t="shared" si="4"/>
        <v>0</v>
      </c>
      <c r="F76" s="100">
        <f>'Financing Unamortized Balance'!BJ54</f>
        <v>77064663.287602633</v>
      </c>
      <c r="G76" s="100">
        <f>+SUM($E$15:E76)+F76</f>
        <v>524427780.31155872</v>
      </c>
      <c r="H76" s="100">
        <f>((SUM($C$15:C75)+C76))/12/$F$5</f>
        <v>2953345.4079837115</v>
      </c>
      <c r="I76" s="100">
        <f>(SUM($D$15:D75)+D76)/12/$F$5</f>
        <v>774680.56721592345</v>
      </c>
      <c r="J76" s="100">
        <f>SUM($H$16:I76)</f>
        <v>139757636.30522078</v>
      </c>
      <c r="K76" s="100">
        <f>SUM($C$16:D76)-J76+F76</f>
        <v>384670144.00633776</v>
      </c>
      <c r="L76" s="100">
        <f t="shared" si="6"/>
        <v>77064663.287602633</v>
      </c>
      <c r="M76" s="100">
        <f t="shared" si="5"/>
        <v>80792689.262802273</v>
      </c>
      <c r="N76" s="100">
        <f t="shared" si="12"/>
        <v>-1047948.1016286188</v>
      </c>
      <c r="O76" s="100">
        <f t="shared" si="7"/>
        <v>87313942.121483058</v>
      </c>
      <c r="P76" s="100">
        <f t="shared" si="8"/>
        <v>86265994.019854441</v>
      </c>
      <c r="Q76" s="103">
        <f t="shared" si="9"/>
        <v>298404149.98648334</v>
      </c>
      <c r="R76" s="103">
        <f t="shared" si="13"/>
        <v>2270358.2411471605</v>
      </c>
      <c r="S76" s="103">
        <f>+'CAP-2 Program Expenses'!F91</f>
        <v>0</v>
      </c>
      <c r="T76" s="103">
        <f t="shared" si="10"/>
        <v>5998384.2163467957</v>
      </c>
      <c r="U76" s="1"/>
      <c r="V76" s="1"/>
      <c r="W76" s="103">
        <f>+Q76*'CAP-1 WACC'!$F$10/12</f>
        <v>547074.27497521939</v>
      </c>
      <c r="Z76" s="44">
        <v>6221512.1614215104</v>
      </c>
      <c r="AA76" s="47">
        <f t="shared" si="11"/>
        <v>-2493486.1862218753</v>
      </c>
    </row>
    <row r="77" spans="2:27" s="44" customFormat="1" ht="15.75" x14ac:dyDescent="0.25">
      <c r="B77" s="5">
        <f>+'CAP-2 Program Expenses'!A92</f>
        <v>47331</v>
      </c>
      <c r="C77" s="100">
        <f>+'CAP-2 Program Expenses'!B92</f>
        <v>0</v>
      </c>
      <c r="D77" s="100">
        <f>+'CAP-2 Program Expenses'!C92</f>
        <v>0</v>
      </c>
      <c r="E77" s="100">
        <f t="shared" si="4"/>
        <v>0</v>
      </c>
      <c r="F77" s="100">
        <f>'Financing Unamortized Balance'!BK54</f>
        <v>74119862.971086681</v>
      </c>
      <c r="G77" s="100">
        <f>+SUM($E$15:E77)+F77</f>
        <v>521482979.9950428</v>
      </c>
      <c r="H77" s="100">
        <f>((SUM($C$15:C76)+C77))/12/$F$5</f>
        <v>2953345.4079837115</v>
      </c>
      <c r="I77" s="100">
        <f>(SUM($D$15:D76)+D77)/12/$F$5</f>
        <v>774680.56721592345</v>
      </c>
      <c r="J77" s="100">
        <f>SUM($H$16:I77)</f>
        <v>143485662.28042042</v>
      </c>
      <c r="K77" s="100">
        <f>SUM($C$16:D77)-J77+F77</f>
        <v>377997317.7146222</v>
      </c>
      <c r="L77" s="100">
        <f t="shared" si="6"/>
        <v>74119862.971086681</v>
      </c>
      <c r="M77" s="100">
        <f t="shared" si="5"/>
        <v>77847888.946286321</v>
      </c>
      <c r="N77" s="100">
        <f t="shared" si="12"/>
        <v>-1047948.1016286188</v>
      </c>
      <c r="O77" s="100">
        <f t="shared" si="7"/>
        <v>86265994.019854441</v>
      </c>
      <c r="P77" s="100">
        <f t="shared" si="8"/>
        <v>85218045.918225825</v>
      </c>
      <c r="Q77" s="103">
        <f t="shared" si="9"/>
        <v>292779271.79639637</v>
      </c>
      <c r="R77" s="103">
        <f t="shared" si="13"/>
        <v>2227562.2929175822</v>
      </c>
      <c r="S77" s="103">
        <f>+'CAP-2 Program Expenses'!F92</f>
        <v>0</v>
      </c>
      <c r="T77" s="103">
        <f t="shared" si="10"/>
        <v>5955588.2681172173</v>
      </c>
      <c r="U77" s="1"/>
      <c r="V77" s="1"/>
      <c r="W77" s="103">
        <f>+Q77*'CAP-1 WACC'!$F$10/12</f>
        <v>536761.99829339329</v>
      </c>
      <c r="Z77" s="44">
        <v>6221512.1614215104</v>
      </c>
      <c r="AA77" s="47">
        <f t="shared" si="11"/>
        <v>-2493486.1862218753</v>
      </c>
    </row>
    <row r="78" spans="2:27" s="44" customFormat="1" ht="15.75" x14ac:dyDescent="0.25">
      <c r="B78" s="104">
        <f>+'CAP-2 Program Expenses'!A93</f>
        <v>47362</v>
      </c>
      <c r="C78" s="105">
        <f>+'CAP-2 Program Expenses'!B93</f>
        <v>0</v>
      </c>
      <c r="D78" s="105">
        <f>+'CAP-2 Program Expenses'!C93</f>
        <v>0</v>
      </c>
      <c r="E78" s="105">
        <f t="shared" si="4"/>
        <v>0</v>
      </c>
      <c r="F78" s="105">
        <f>'Financing Unamortized Balance'!BL54</f>
        <v>71175062.654570729</v>
      </c>
      <c r="G78" s="105">
        <f>+SUM($E$15:E78)+F78</f>
        <v>518538179.67852688</v>
      </c>
      <c r="H78" s="105">
        <f>((SUM($C$15:C77)+C78))/12/$F$5</f>
        <v>2953345.4079837115</v>
      </c>
      <c r="I78" s="105">
        <f>(SUM($D$15:D77)+D78)/12/$F$5</f>
        <v>774680.56721592345</v>
      </c>
      <c r="J78" s="105">
        <f>SUM($H$16:I78)</f>
        <v>147213688.25562006</v>
      </c>
      <c r="K78" s="105">
        <f>SUM($C$16:D78)-J78+F78</f>
        <v>371324491.42290664</v>
      </c>
      <c r="L78" s="105">
        <f t="shared" si="6"/>
        <v>71175062.654570729</v>
      </c>
      <c r="M78" s="105">
        <f t="shared" si="5"/>
        <v>74903088.629770368</v>
      </c>
      <c r="N78" s="105">
        <f t="shared" si="12"/>
        <v>-1047948.1016286188</v>
      </c>
      <c r="O78" s="105">
        <f t="shared" si="7"/>
        <v>85218045.918225825</v>
      </c>
      <c r="P78" s="105">
        <f t="shared" si="8"/>
        <v>84170097.816597208</v>
      </c>
      <c r="Q78" s="108">
        <f t="shared" si="9"/>
        <v>287154393.60630941</v>
      </c>
      <c r="R78" s="108">
        <f t="shared" si="13"/>
        <v>2184766.3446880039</v>
      </c>
      <c r="S78" s="108">
        <f>+'CAP-2 Program Expenses'!F93</f>
        <v>0</v>
      </c>
      <c r="T78" s="108">
        <f t="shared" si="10"/>
        <v>5912792.319887639</v>
      </c>
      <c r="U78" s="1"/>
      <c r="V78" s="1"/>
      <c r="W78" s="108">
        <f>+Q78*'CAP-1 WACC'!$F$10/12</f>
        <v>526449.72161156719</v>
      </c>
      <c r="Z78" s="44">
        <v>6221512.1614215104</v>
      </c>
      <c r="AA78" s="47">
        <f t="shared" si="11"/>
        <v>-2493486.1862218753</v>
      </c>
    </row>
    <row r="79" spans="2:27" s="44" customFormat="1" ht="15.75" x14ac:dyDescent="0.25">
      <c r="B79" s="5">
        <f>+'CAP-2 Program Expenses'!A94</f>
        <v>47392</v>
      </c>
      <c r="C79" s="100">
        <f>+'CAP-2 Program Expenses'!B94</f>
        <v>0</v>
      </c>
      <c r="D79" s="100">
        <f>+'CAP-2 Program Expenses'!C94</f>
        <v>0</v>
      </c>
      <c r="E79" s="100">
        <f t="shared" si="4"/>
        <v>0</v>
      </c>
      <c r="F79" s="100">
        <f>'Financing Unamortized Balance'!BM54</f>
        <v>68230262.338054761</v>
      </c>
      <c r="G79" s="100">
        <f>+SUM($E$15:E79)+F79</f>
        <v>515593379.3620109</v>
      </c>
      <c r="H79" s="100">
        <f>((SUM($C$15:C78)+C79))/12/$F$5</f>
        <v>2953345.4079837115</v>
      </c>
      <c r="I79" s="100">
        <f>(SUM($D$15:D78)+D79)/12/$F$5</f>
        <v>774680.56721592345</v>
      </c>
      <c r="J79" s="100">
        <f>SUM($H$16:I79)</f>
        <v>150941714.2308197</v>
      </c>
      <c r="K79" s="100">
        <f>SUM($C$16:D79)-J79+F79</f>
        <v>364651665.13119102</v>
      </c>
      <c r="L79" s="100">
        <f t="shared" si="6"/>
        <v>68230262.338054761</v>
      </c>
      <c r="M79" s="100">
        <f t="shared" si="5"/>
        <v>71958288.313254401</v>
      </c>
      <c r="N79" s="100">
        <f t="shared" si="12"/>
        <v>-1047948.1016286188</v>
      </c>
      <c r="O79" s="100">
        <f t="shared" si="7"/>
        <v>84170097.816597208</v>
      </c>
      <c r="P79" s="100">
        <f t="shared" si="8"/>
        <v>83122149.714968592</v>
      </c>
      <c r="Q79" s="103">
        <f t="shared" si="9"/>
        <v>281529515.41622245</v>
      </c>
      <c r="R79" s="103">
        <f t="shared" si="13"/>
        <v>2141970.3964584256</v>
      </c>
      <c r="S79" s="103">
        <f>+'CAP-2 Program Expenses'!F94</f>
        <v>0</v>
      </c>
      <c r="T79" s="103">
        <f t="shared" si="10"/>
        <v>5869996.3716580607</v>
      </c>
      <c r="U79" s="1"/>
      <c r="V79" s="1"/>
      <c r="W79" s="103">
        <f>+Q79*'CAP-1 WACC'!$F$10/12</f>
        <v>516137.44492974115</v>
      </c>
      <c r="Z79" s="44">
        <v>6221512.1614215104</v>
      </c>
      <c r="AA79" s="47">
        <f t="shared" si="11"/>
        <v>-2493486.1862218753</v>
      </c>
    </row>
    <row r="80" spans="2:27" s="44" customFormat="1" ht="15.75" x14ac:dyDescent="0.25">
      <c r="B80" s="5">
        <f>+'CAP-2 Program Expenses'!A95</f>
        <v>47423</v>
      </c>
      <c r="C80" s="100">
        <f>+'CAP-2 Program Expenses'!B95</f>
        <v>0</v>
      </c>
      <c r="D80" s="100">
        <f>+'CAP-2 Program Expenses'!C95</f>
        <v>0</v>
      </c>
      <c r="E80" s="100">
        <f t="shared" si="4"/>
        <v>0</v>
      </c>
      <c r="F80" s="100">
        <f>'Financing Unamortized Balance'!BN54</f>
        <v>65285462.021538801</v>
      </c>
      <c r="G80" s="100">
        <f>+SUM($E$15:E80)+F80</f>
        <v>512648579.04549491</v>
      </c>
      <c r="H80" s="100">
        <f>((SUM($C$15:C79)+C80))/12/$F$5</f>
        <v>2953345.4079837115</v>
      </c>
      <c r="I80" s="100">
        <f>(SUM($D$15:D79)+D80)/12/$F$5</f>
        <v>774680.56721592345</v>
      </c>
      <c r="J80" s="100">
        <f>SUM($H$16:I80)</f>
        <v>154669740.20601934</v>
      </c>
      <c r="K80" s="100">
        <f>SUM($C$16:D80)-J80+F80</f>
        <v>357978838.83947539</v>
      </c>
      <c r="L80" s="100">
        <f t="shared" si="6"/>
        <v>65285462.021538801</v>
      </c>
      <c r="M80" s="100">
        <f t="shared" si="5"/>
        <v>69013487.996738434</v>
      </c>
      <c r="N80" s="100">
        <f t="shared" si="12"/>
        <v>-1047948.1016286167</v>
      </c>
      <c r="O80" s="100">
        <f t="shared" si="7"/>
        <v>83122149.714968592</v>
      </c>
      <c r="P80" s="100">
        <f t="shared" si="8"/>
        <v>82074201.613339975</v>
      </c>
      <c r="Q80" s="103">
        <f t="shared" si="9"/>
        <v>275904637.22613543</v>
      </c>
      <c r="R80" s="103">
        <f t="shared" si="13"/>
        <v>2099174.4482288468</v>
      </c>
      <c r="S80" s="103">
        <f>+'CAP-2 Program Expenses'!F95</f>
        <v>0</v>
      </c>
      <c r="T80" s="103">
        <f t="shared" si="10"/>
        <v>5827200.4234284814</v>
      </c>
      <c r="U80" s="1"/>
      <c r="V80" s="1"/>
      <c r="W80" s="103">
        <f>+Q80*'CAP-1 WACC'!$F$10/12</f>
        <v>505825.16824791493</v>
      </c>
      <c r="Z80" s="44">
        <v>6221512.1614215104</v>
      </c>
      <c r="AA80" s="47">
        <f t="shared" si="11"/>
        <v>-2493486.1862218753</v>
      </c>
    </row>
    <row r="81" spans="2:27" s="44" customFormat="1" ht="15.75" x14ac:dyDescent="0.25">
      <c r="B81" s="104">
        <f>+'CAP-2 Program Expenses'!A96</f>
        <v>47453</v>
      </c>
      <c r="C81" s="105">
        <f>+'CAP-2 Program Expenses'!B96</f>
        <v>0</v>
      </c>
      <c r="D81" s="105">
        <f>+'CAP-2 Program Expenses'!C96</f>
        <v>0</v>
      </c>
      <c r="E81" s="105">
        <f t="shared" ref="E81:E144" si="14">SUM(C81:D81)</f>
        <v>0</v>
      </c>
      <c r="F81" s="105">
        <f>'Financing Unamortized Balance'!BO54</f>
        <v>62340661.705022834</v>
      </c>
      <c r="G81" s="105">
        <f>+SUM($E$15:E81)+F81</f>
        <v>509703778.72897893</v>
      </c>
      <c r="H81" s="105">
        <f>((SUM($C$15:C80)+C81))/12/$F$5</f>
        <v>2953345.4079837115</v>
      </c>
      <c r="I81" s="105">
        <f>(SUM($D$15:D80)+D81)/12/$F$5</f>
        <v>774680.56721592345</v>
      </c>
      <c r="J81" s="105">
        <f>SUM($H$16:I81)</f>
        <v>158397766.18121898</v>
      </c>
      <c r="K81" s="105">
        <f>SUM($C$16:D81)-J81+F81</f>
        <v>351306012.54775977</v>
      </c>
      <c r="L81" s="105">
        <f t="shared" si="6"/>
        <v>62340661.705022834</v>
      </c>
      <c r="M81" s="105">
        <f t="shared" ref="M81:M144" si="15">H81+I81+F81</f>
        <v>66068687.680222467</v>
      </c>
      <c r="N81" s="105">
        <f t="shared" si="12"/>
        <v>-1047948.1016286167</v>
      </c>
      <c r="O81" s="105">
        <f t="shared" si="7"/>
        <v>82074201.613339975</v>
      </c>
      <c r="P81" s="105">
        <f t="shared" si="8"/>
        <v>81026253.511711359</v>
      </c>
      <c r="Q81" s="108">
        <f t="shared" si="9"/>
        <v>270279759.03604841</v>
      </c>
      <c r="R81" s="108">
        <f t="shared" si="13"/>
        <v>2056378.499999268</v>
      </c>
      <c r="S81" s="108">
        <f>+'CAP-2 Program Expenses'!F96</f>
        <v>0</v>
      </c>
      <c r="T81" s="108">
        <f t="shared" si="10"/>
        <v>5784404.4751989031</v>
      </c>
      <c r="U81" s="1"/>
      <c r="V81" s="1"/>
      <c r="W81" s="108">
        <f>+Q81*'CAP-1 WACC'!$F$10/12</f>
        <v>495512.89156608871</v>
      </c>
      <c r="Z81" s="44">
        <v>6221512.1614215104</v>
      </c>
      <c r="AA81" s="47">
        <f t="shared" si="11"/>
        <v>-2493486.1862218753</v>
      </c>
    </row>
    <row r="82" spans="2:27" s="44" customFormat="1" ht="15.75" x14ac:dyDescent="0.25">
      <c r="B82" s="5">
        <f>+'CAP-2 Program Expenses'!A97</f>
        <v>47484</v>
      </c>
      <c r="C82" s="100">
        <f>+'CAP-2 Program Expenses'!B97</f>
        <v>0</v>
      </c>
      <c r="D82" s="100">
        <f>+'CAP-2 Program Expenses'!C97</f>
        <v>0</v>
      </c>
      <c r="E82" s="100">
        <f t="shared" si="14"/>
        <v>0</v>
      </c>
      <c r="F82" s="100">
        <f>'Financing Unamortized Balance'!BP54</f>
        <v>59395861.388506867</v>
      </c>
      <c r="G82" s="100">
        <f>+SUM($E$15:E82)+F82</f>
        <v>506758978.41246301</v>
      </c>
      <c r="H82" s="100">
        <f>((SUM($C$15:C81)+C82))/12/$F$5</f>
        <v>2953345.4079837115</v>
      </c>
      <c r="I82" s="100">
        <f>(SUM($D$15:D81)+D82)/12/$F$5</f>
        <v>774680.56721592345</v>
      </c>
      <c r="J82" s="100">
        <f>SUM($H$16:I82)</f>
        <v>162125792.15641862</v>
      </c>
      <c r="K82" s="100">
        <f>SUM($C$16:D82)-J82+F82</f>
        <v>344633186.25604421</v>
      </c>
      <c r="L82" s="100">
        <f t="shared" ref="L82:L145" si="16">E82+F82</f>
        <v>59395861.388506867</v>
      </c>
      <c r="M82" s="100">
        <f t="shared" si="15"/>
        <v>63123887.363706499</v>
      </c>
      <c r="N82" s="100">
        <f t="shared" si="12"/>
        <v>-1047948.1016286167</v>
      </c>
      <c r="O82" s="100">
        <f t="shared" ref="O82:O145" si="17">+O81+N81</f>
        <v>81026253.511711359</v>
      </c>
      <c r="P82" s="100">
        <f t="shared" ref="P82:P144" si="18">+P81+N82</f>
        <v>79978305.410082743</v>
      </c>
      <c r="Q82" s="103">
        <f t="shared" ref="Q82:Q144" si="19">K82-P82</f>
        <v>264654880.84596145</v>
      </c>
      <c r="R82" s="103">
        <f t="shared" si="13"/>
        <v>2013582.5517696899</v>
      </c>
      <c r="S82" s="103">
        <f>+'CAP-2 Program Expenses'!F97</f>
        <v>0</v>
      </c>
      <c r="T82" s="103">
        <f t="shared" ref="T82:T143" si="20">+SUM(H82:I82)+SUM(R82:S82)</f>
        <v>5741608.5269693248</v>
      </c>
      <c r="U82" s="1"/>
      <c r="V82" s="1"/>
      <c r="W82" s="103">
        <f>+Q82*'CAP-1 WACC'!$F$10/12</f>
        <v>485200.61488426267</v>
      </c>
      <c r="Z82" s="44">
        <v>6221512.1614215104</v>
      </c>
      <c r="AA82" s="47">
        <f t="shared" si="11"/>
        <v>-2493486.1862218753</v>
      </c>
    </row>
    <row r="83" spans="2:27" s="44" customFormat="1" ht="15.75" x14ac:dyDescent="0.25">
      <c r="B83" s="5">
        <f>+'CAP-2 Program Expenses'!A98</f>
        <v>47515</v>
      </c>
      <c r="C83" s="100">
        <f>+'CAP-2 Program Expenses'!B98</f>
        <v>0</v>
      </c>
      <c r="D83" s="100">
        <f>+'CAP-2 Program Expenses'!C98</f>
        <v>0</v>
      </c>
      <c r="E83" s="100">
        <f t="shared" si="14"/>
        <v>0</v>
      </c>
      <c r="F83" s="100">
        <f>'Financing Unamortized Balance'!BQ54</f>
        <v>56496837.465358742</v>
      </c>
      <c r="G83" s="100">
        <f>+SUM($E$15:E83)+F83</f>
        <v>503859954.48931485</v>
      </c>
      <c r="H83" s="100">
        <f>((SUM($C$15:C82)+C83))/12/$F$5</f>
        <v>2953345.4079837115</v>
      </c>
      <c r="I83" s="100">
        <f>(SUM($D$15:D82)+D83)/12/$F$5</f>
        <v>774680.56721592345</v>
      </c>
      <c r="J83" s="100">
        <f>SUM($H$16:I83)</f>
        <v>165853818.13161826</v>
      </c>
      <c r="K83" s="100">
        <f>SUM($C$16:D83)-J83+F83</f>
        <v>338006136.35769641</v>
      </c>
      <c r="L83" s="100">
        <f t="shared" si="16"/>
        <v>56496837.465358742</v>
      </c>
      <c r="M83" s="100">
        <f t="shared" si="15"/>
        <v>60224863.440558374</v>
      </c>
      <c r="N83" s="100">
        <f t="shared" si="12"/>
        <v>-1047948.1016286167</v>
      </c>
      <c r="O83" s="100">
        <f t="shared" si="17"/>
        <v>79978305.410082743</v>
      </c>
      <c r="P83" s="100">
        <f t="shared" si="18"/>
        <v>78930357.308454126</v>
      </c>
      <c r="Q83" s="103">
        <f t="shared" si="19"/>
        <v>259075779.04924229</v>
      </c>
      <c r="R83" s="103">
        <f t="shared" si="13"/>
        <v>1971134.8855996516</v>
      </c>
      <c r="S83" s="103">
        <f>+'CAP-2 Program Expenses'!F98</f>
        <v>0</v>
      </c>
      <c r="T83" s="103">
        <f t="shared" si="20"/>
        <v>5699160.8607992865</v>
      </c>
      <c r="U83" s="1"/>
      <c r="V83" s="1"/>
      <c r="W83" s="103">
        <f>+Q83*'CAP-1 WACC'!$F$10/12</f>
        <v>474972.26159027749</v>
      </c>
      <c r="Z83" s="44">
        <v>6221512.1614215104</v>
      </c>
      <c r="AA83" s="47">
        <f t="shared" si="11"/>
        <v>-2493486.1862218753</v>
      </c>
    </row>
    <row r="84" spans="2:27" s="44" customFormat="1" ht="15.75" x14ac:dyDescent="0.25">
      <c r="B84" s="104">
        <f>+'CAP-2 Program Expenses'!A99</f>
        <v>47543</v>
      </c>
      <c r="C84" s="105">
        <f>+'CAP-2 Program Expenses'!B99</f>
        <v>0</v>
      </c>
      <c r="D84" s="105">
        <f>+'CAP-2 Program Expenses'!C99</f>
        <v>0</v>
      </c>
      <c r="E84" s="105">
        <f t="shared" si="14"/>
        <v>0</v>
      </c>
      <c r="F84" s="105">
        <f>'Financing Unamortized Balance'!BR54</f>
        <v>53643589.935578451</v>
      </c>
      <c r="G84" s="105">
        <f>+SUM($E$15:E84)+F84</f>
        <v>501006706.95953459</v>
      </c>
      <c r="H84" s="105">
        <f>((SUM($C$15:C83)+C84))/12/$F$5</f>
        <v>2953345.4079837115</v>
      </c>
      <c r="I84" s="105">
        <f>(SUM($D$15:D83)+D84)/12/$F$5</f>
        <v>774680.56721592345</v>
      </c>
      <c r="J84" s="105">
        <f>SUM($H$16:I84)</f>
        <v>169581844.1068179</v>
      </c>
      <c r="K84" s="105">
        <f>SUM($C$16:D84)-J84+F84</f>
        <v>331424862.85271651</v>
      </c>
      <c r="L84" s="105">
        <f t="shared" si="16"/>
        <v>53643589.935578451</v>
      </c>
      <c r="M84" s="105">
        <f t="shared" si="15"/>
        <v>57371615.910778083</v>
      </c>
      <c r="N84" s="105">
        <f t="shared" si="12"/>
        <v>-1047948.1016286167</v>
      </c>
      <c r="O84" s="105">
        <f t="shared" si="17"/>
        <v>78930357.308454126</v>
      </c>
      <c r="P84" s="105">
        <f t="shared" si="18"/>
        <v>77882409.20682551</v>
      </c>
      <c r="Q84" s="108">
        <f t="shared" si="19"/>
        <v>253542453.64589101</v>
      </c>
      <c r="R84" s="108">
        <f t="shared" si="13"/>
        <v>1929035.5014891538</v>
      </c>
      <c r="S84" s="108">
        <f>+'CAP-2 Program Expenses'!F99</f>
        <v>0</v>
      </c>
      <c r="T84" s="108">
        <f t="shared" si="20"/>
        <v>5657061.4766887892</v>
      </c>
      <c r="U84" s="1"/>
      <c r="V84" s="1"/>
      <c r="W84" s="108">
        <f>+Q84*'CAP-1 WACC'!$F$10/12</f>
        <v>464827.8316841335</v>
      </c>
      <c r="Z84" s="44">
        <v>6221512.1614215104</v>
      </c>
      <c r="AA84" s="47">
        <f t="shared" si="11"/>
        <v>-2493486.1862218753</v>
      </c>
    </row>
    <row r="85" spans="2:27" s="44" customFormat="1" ht="15.75" x14ac:dyDescent="0.25">
      <c r="B85" s="5">
        <f>+'CAP-2 Program Expenses'!A100</f>
        <v>47574</v>
      </c>
      <c r="C85" s="100">
        <f>+'CAP-2 Program Expenses'!B100</f>
        <v>0</v>
      </c>
      <c r="D85" s="100">
        <f>+'CAP-2 Program Expenses'!C100</f>
        <v>0</v>
      </c>
      <c r="E85" s="100">
        <f t="shared" si="14"/>
        <v>0</v>
      </c>
      <c r="F85" s="100">
        <f>'Financing Unamortized Balance'!BS54</f>
        <v>50836118.799165986</v>
      </c>
      <c r="G85" s="100">
        <f>+SUM($E$15:E85)+F85</f>
        <v>498199235.82312208</v>
      </c>
      <c r="H85" s="100">
        <f>((SUM($C$15:C84)+C85))/12/$F$5</f>
        <v>2953345.4079837115</v>
      </c>
      <c r="I85" s="100">
        <f>(SUM($D$15:D84)+D85)/12/$F$5</f>
        <v>774680.56721592345</v>
      </c>
      <c r="J85" s="100">
        <f>SUM($H$16:I85)</f>
        <v>173309870.08201754</v>
      </c>
      <c r="K85" s="100">
        <f>SUM($C$16:D85)-J85+F85</f>
        <v>324889365.74110436</v>
      </c>
      <c r="L85" s="100">
        <f t="shared" si="16"/>
        <v>50836118.799165986</v>
      </c>
      <c r="M85" s="100">
        <f t="shared" si="15"/>
        <v>54564144.774365619</v>
      </c>
      <c r="N85" s="100">
        <f t="shared" si="12"/>
        <v>-1047948.1016286167</v>
      </c>
      <c r="O85" s="100">
        <f t="shared" si="17"/>
        <v>77882409.20682551</v>
      </c>
      <c r="P85" s="100">
        <f t="shared" si="18"/>
        <v>76834461.105196893</v>
      </c>
      <c r="Q85" s="103">
        <f t="shared" si="19"/>
        <v>248054904.63590747</v>
      </c>
      <c r="R85" s="103">
        <f t="shared" si="13"/>
        <v>1887284.3994381959</v>
      </c>
      <c r="S85" s="103">
        <f>+'CAP-2 Program Expenses'!F100</f>
        <v>0</v>
      </c>
      <c r="T85" s="103">
        <f t="shared" si="20"/>
        <v>5615310.374637831</v>
      </c>
      <c r="U85" s="1"/>
      <c r="V85" s="1"/>
      <c r="W85" s="103">
        <f>+Q85*'CAP-1 WACC'!$F$10/12</f>
        <v>454767.32516583032</v>
      </c>
      <c r="Z85" s="44">
        <v>6221512.1614215104</v>
      </c>
      <c r="AA85" s="47">
        <f t="shared" si="11"/>
        <v>-2493486.1862218753</v>
      </c>
    </row>
    <row r="86" spans="2:27" s="44" customFormat="1" ht="15.75" x14ac:dyDescent="0.25">
      <c r="B86" s="5">
        <f>+'CAP-2 Program Expenses'!A101</f>
        <v>47604</v>
      </c>
      <c r="C86" s="100">
        <f>+'CAP-2 Program Expenses'!B101</f>
        <v>0</v>
      </c>
      <c r="D86" s="100">
        <f>+'CAP-2 Program Expenses'!C101</f>
        <v>0</v>
      </c>
      <c r="E86" s="100">
        <f t="shared" si="14"/>
        <v>0</v>
      </c>
      <c r="F86" s="100">
        <f>'Financing Unamortized Balance'!BT54</f>
        <v>48074424.056121379</v>
      </c>
      <c r="G86" s="100">
        <f>+SUM($E$15:E86)+F86</f>
        <v>495437541.08007753</v>
      </c>
      <c r="H86" s="100">
        <f>((SUM($C$15:C85)+C86))/12/$F$5</f>
        <v>2953345.4079837115</v>
      </c>
      <c r="I86" s="100">
        <f>(SUM($D$15:D85)+D86)/12/$F$5</f>
        <v>774680.56721592345</v>
      </c>
      <c r="J86" s="100">
        <f>SUM($H$16:I86)</f>
        <v>177037896.05721718</v>
      </c>
      <c r="K86" s="100">
        <f>SUM($C$16:D86)-J86+F86</f>
        <v>318399645.02286017</v>
      </c>
      <c r="L86" s="100">
        <f t="shared" si="16"/>
        <v>48074424.056121379</v>
      </c>
      <c r="M86" s="100">
        <f t="shared" si="15"/>
        <v>51802450.031321011</v>
      </c>
      <c r="N86" s="100">
        <f t="shared" si="12"/>
        <v>-1047948.1016286167</v>
      </c>
      <c r="O86" s="100">
        <f t="shared" si="17"/>
        <v>76834461.105196893</v>
      </c>
      <c r="P86" s="100">
        <f t="shared" si="18"/>
        <v>75786513.003568277</v>
      </c>
      <c r="Q86" s="103">
        <f t="shared" si="19"/>
        <v>242613132.01929188</v>
      </c>
      <c r="R86" s="103">
        <f t="shared" si="13"/>
        <v>1845881.5794467789</v>
      </c>
      <c r="S86" s="103">
        <f>+'CAP-2 Program Expenses'!F101</f>
        <v>0</v>
      </c>
      <c r="T86" s="103">
        <f t="shared" si="20"/>
        <v>5573907.5546464138</v>
      </c>
      <c r="U86" s="1"/>
      <c r="V86" s="1"/>
      <c r="W86" s="103">
        <f>+Q86*'CAP-1 WACC'!$F$10/12</f>
        <v>444790.7420353684</v>
      </c>
      <c r="Z86" s="44">
        <v>6221512.1614215104</v>
      </c>
      <c r="AA86" s="47">
        <f t="shared" si="11"/>
        <v>-2493486.1862218753</v>
      </c>
    </row>
    <row r="87" spans="2:27" s="44" customFormat="1" ht="15.75" x14ac:dyDescent="0.25">
      <c r="B87" s="104">
        <f>+'CAP-2 Program Expenses'!A102</f>
        <v>47635</v>
      </c>
      <c r="C87" s="105">
        <f>+'CAP-2 Program Expenses'!B102</f>
        <v>0</v>
      </c>
      <c r="D87" s="105">
        <f>+'CAP-2 Program Expenses'!C102</f>
        <v>0</v>
      </c>
      <c r="E87" s="105">
        <f t="shared" si="14"/>
        <v>0</v>
      </c>
      <c r="F87" s="105">
        <f>'Financing Unamortized Balance'!BU54</f>
        <v>45358505.706444569</v>
      </c>
      <c r="G87" s="105">
        <f>+SUM($E$15:E87)+F87</f>
        <v>492721622.73040068</v>
      </c>
      <c r="H87" s="105">
        <f>((SUM($C$15:C86)+C87))/12/$F$5</f>
        <v>2953345.4079837115</v>
      </c>
      <c r="I87" s="105">
        <f>(SUM($D$15:D86)+D87)/12/$F$5</f>
        <v>774680.56721592345</v>
      </c>
      <c r="J87" s="105">
        <f>SUM($H$16:I87)</f>
        <v>180765922.03241682</v>
      </c>
      <c r="K87" s="105">
        <f>SUM($C$16:D87)-J87+F87</f>
        <v>311955700.69798368</v>
      </c>
      <c r="L87" s="105">
        <f t="shared" si="16"/>
        <v>45358505.706444569</v>
      </c>
      <c r="M87" s="105">
        <f t="shared" si="15"/>
        <v>49086531.681644201</v>
      </c>
      <c r="N87" s="105">
        <f t="shared" si="12"/>
        <v>-1047948.1016286167</v>
      </c>
      <c r="O87" s="105">
        <f t="shared" si="17"/>
        <v>75786513.003568277</v>
      </c>
      <c r="P87" s="105">
        <f t="shared" si="18"/>
        <v>74738564.90193966</v>
      </c>
      <c r="Q87" s="108">
        <f t="shared" si="19"/>
        <v>237217135.79604402</v>
      </c>
      <c r="R87" s="108">
        <f t="shared" si="13"/>
        <v>1804827.0415149014</v>
      </c>
      <c r="S87" s="108">
        <f>+'CAP-2 Program Expenses'!F102</f>
        <v>0</v>
      </c>
      <c r="T87" s="108">
        <f t="shared" si="20"/>
        <v>5532853.0167145366</v>
      </c>
      <c r="U87" s="1"/>
      <c r="V87" s="1"/>
      <c r="W87" s="108">
        <f>+Q87*'CAP-1 WACC'!$F$10/12</f>
        <v>434898.08229274739</v>
      </c>
      <c r="Z87" s="44">
        <v>6221512.1614215104</v>
      </c>
      <c r="AA87" s="47">
        <f t="shared" ref="AA87:AA150" si="21">H87+I87-Z87</f>
        <v>-2493486.1862218753</v>
      </c>
    </row>
    <row r="88" spans="2:27" s="44" customFormat="1" ht="15.75" x14ac:dyDescent="0.25">
      <c r="B88" s="5">
        <f>+'CAP-2 Program Expenses'!A103</f>
        <v>47665</v>
      </c>
      <c r="C88" s="100">
        <f>+'CAP-2 Program Expenses'!B103</f>
        <v>0</v>
      </c>
      <c r="D88" s="100">
        <f>+'CAP-2 Program Expenses'!C103</f>
        <v>0</v>
      </c>
      <c r="E88" s="100">
        <f t="shared" si="14"/>
        <v>0</v>
      </c>
      <c r="F88" s="100">
        <f>'Financing Unamortized Balance'!BV54</f>
        <v>42688363.750135615</v>
      </c>
      <c r="G88" s="100">
        <f>+SUM($E$15:E88)+F88</f>
        <v>490051480.77409172</v>
      </c>
      <c r="H88" s="100">
        <f>((SUM($C$15:C87)+C88))/12/$F$5</f>
        <v>2953345.4079837115</v>
      </c>
      <c r="I88" s="100">
        <f>(SUM($D$15:D87)+D88)/12/$F$5</f>
        <v>774680.56721592345</v>
      </c>
      <c r="J88" s="100">
        <f>SUM($H$16:I88)</f>
        <v>184493948.00761646</v>
      </c>
      <c r="K88" s="100">
        <f>SUM($C$16:D88)-J88+F88</f>
        <v>305557532.76647508</v>
      </c>
      <c r="L88" s="100">
        <f t="shared" si="16"/>
        <v>42688363.750135615</v>
      </c>
      <c r="M88" s="100">
        <f t="shared" si="15"/>
        <v>46416389.725335248</v>
      </c>
      <c r="N88" s="100">
        <f t="shared" ref="N88:N151" si="22">+(L88-M88)*F$7</f>
        <v>-1047948.1016286167</v>
      </c>
      <c r="O88" s="100">
        <f t="shared" si="17"/>
        <v>74738564.90193966</v>
      </c>
      <c r="P88" s="100">
        <f t="shared" si="18"/>
        <v>73690616.800311044</v>
      </c>
      <c r="Q88" s="103">
        <f t="shared" si="19"/>
        <v>231866915.96616405</v>
      </c>
      <c r="R88" s="103">
        <f t="shared" si="13"/>
        <v>1764120.7856425645</v>
      </c>
      <c r="S88" s="103">
        <f>+'CAP-2 Program Expenses'!F103</f>
        <v>0</v>
      </c>
      <c r="T88" s="103">
        <f t="shared" si="20"/>
        <v>5492146.7608421994</v>
      </c>
      <c r="U88" s="1"/>
      <c r="V88" s="1"/>
      <c r="W88" s="103">
        <f>+Q88*'CAP-1 WACC'!$F$10/12</f>
        <v>425089.34593796736</v>
      </c>
      <c r="Z88" s="44">
        <v>6221512.1614215104</v>
      </c>
      <c r="AA88" s="47">
        <f t="shared" si="21"/>
        <v>-2493486.1862218753</v>
      </c>
    </row>
    <row r="89" spans="2:27" s="44" customFormat="1" ht="15.75" x14ac:dyDescent="0.25">
      <c r="B89" s="5">
        <f>+'CAP-2 Program Expenses'!A104</f>
        <v>47696</v>
      </c>
      <c r="C89" s="100">
        <f>+'CAP-2 Program Expenses'!B104</f>
        <v>0</v>
      </c>
      <c r="D89" s="100">
        <f>+'CAP-2 Program Expenses'!C104</f>
        <v>0</v>
      </c>
      <c r="E89" s="100">
        <f t="shared" si="14"/>
        <v>0</v>
      </c>
      <c r="F89" s="100">
        <f>'Financing Unamortized Balance'!BW54</f>
        <v>40063998.187194496</v>
      </c>
      <c r="G89" s="100">
        <f>+SUM($E$15:E89)+F89</f>
        <v>487427115.21115065</v>
      </c>
      <c r="H89" s="100">
        <f>((SUM($C$15:C88)+C89))/12/$F$5</f>
        <v>2953345.4079837115</v>
      </c>
      <c r="I89" s="100">
        <f>(SUM($D$15:D88)+D89)/12/$F$5</f>
        <v>774680.56721592345</v>
      </c>
      <c r="J89" s="100">
        <f>SUM($H$16:I89)</f>
        <v>188221973.9828161</v>
      </c>
      <c r="K89" s="100">
        <f>SUM($C$16:D89)-J89+F89</f>
        <v>299205141.22833431</v>
      </c>
      <c r="L89" s="100">
        <f t="shared" si="16"/>
        <v>40063998.187194496</v>
      </c>
      <c r="M89" s="100">
        <f t="shared" si="15"/>
        <v>43792024.162394129</v>
      </c>
      <c r="N89" s="100">
        <f t="shared" si="22"/>
        <v>-1047948.1016286167</v>
      </c>
      <c r="O89" s="100">
        <f t="shared" si="17"/>
        <v>73690616.800311044</v>
      </c>
      <c r="P89" s="100">
        <f t="shared" si="18"/>
        <v>72642668.698682427</v>
      </c>
      <c r="Q89" s="103">
        <f t="shared" si="19"/>
        <v>226562472.52965188</v>
      </c>
      <c r="R89" s="103">
        <f t="shared" ref="R89:R152" si="23">+Q89*F$6</f>
        <v>1723762.8118297679</v>
      </c>
      <c r="S89" s="103">
        <f>+'CAP-2 Program Expenses'!F104</f>
        <v>0</v>
      </c>
      <c r="T89" s="103">
        <f t="shared" si="20"/>
        <v>5451788.7870294033</v>
      </c>
      <c r="U89" s="1"/>
      <c r="V89" s="1"/>
      <c r="W89" s="103">
        <f>+Q89*'CAP-1 WACC'!$F$10/12</f>
        <v>415364.53297102841</v>
      </c>
      <c r="Z89" s="44">
        <v>6221512.1614215104</v>
      </c>
      <c r="AA89" s="47">
        <f t="shared" si="21"/>
        <v>-2493486.1862218753</v>
      </c>
    </row>
    <row r="90" spans="2:27" s="44" customFormat="1" ht="15.75" x14ac:dyDescent="0.25">
      <c r="B90" s="104">
        <f>+'CAP-2 Program Expenses'!A105</f>
        <v>47727</v>
      </c>
      <c r="C90" s="105">
        <f>+'CAP-2 Program Expenses'!B105</f>
        <v>0</v>
      </c>
      <c r="D90" s="105">
        <f>+'CAP-2 Program Expenses'!C105</f>
        <v>0</v>
      </c>
      <c r="E90" s="105">
        <f t="shared" si="14"/>
        <v>0</v>
      </c>
      <c r="F90" s="105">
        <f>'Financing Unamortized Balance'!BX54</f>
        <v>37485409.017621197</v>
      </c>
      <c r="G90" s="105">
        <f>+SUM($E$15:E90)+F90</f>
        <v>484848526.04157734</v>
      </c>
      <c r="H90" s="105">
        <f>((SUM($C$15:C89)+C90))/12/$F$5</f>
        <v>2953345.4079837115</v>
      </c>
      <c r="I90" s="105">
        <f>(SUM($D$15:D89)+D90)/12/$F$5</f>
        <v>774680.56721592345</v>
      </c>
      <c r="J90" s="105">
        <f>SUM($H$16:I90)</f>
        <v>191949999.95801574</v>
      </c>
      <c r="K90" s="105">
        <f>SUM($C$16:D90)-J90+F90</f>
        <v>292898526.08356142</v>
      </c>
      <c r="L90" s="105">
        <f t="shared" si="16"/>
        <v>37485409.017621197</v>
      </c>
      <c r="M90" s="105">
        <f t="shared" si="15"/>
        <v>41213434.992820829</v>
      </c>
      <c r="N90" s="105">
        <f t="shared" si="22"/>
        <v>-1047948.1016286167</v>
      </c>
      <c r="O90" s="105">
        <f t="shared" si="17"/>
        <v>72642668.698682427</v>
      </c>
      <c r="P90" s="105">
        <f t="shared" si="18"/>
        <v>71594720.597053811</v>
      </c>
      <c r="Q90" s="108">
        <f t="shared" si="19"/>
        <v>221303805.48650759</v>
      </c>
      <c r="R90" s="108">
        <f t="shared" si="23"/>
        <v>1683753.1200765118</v>
      </c>
      <c r="S90" s="108">
        <f>+'CAP-2 Program Expenses'!F105</f>
        <v>0</v>
      </c>
      <c r="T90" s="108">
        <f t="shared" si="20"/>
        <v>5411779.0952761471</v>
      </c>
      <c r="U90" s="1"/>
      <c r="V90" s="1"/>
      <c r="W90" s="108">
        <f>+Q90*'CAP-1 WACC'!$F$10/12</f>
        <v>405723.64339193056</v>
      </c>
      <c r="Z90" s="44">
        <v>6221512.1614215104</v>
      </c>
      <c r="AA90" s="47">
        <f t="shared" si="21"/>
        <v>-2493486.1862218753</v>
      </c>
    </row>
    <row r="91" spans="2:27" s="44" customFormat="1" ht="15.75" x14ac:dyDescent="0.25">
      <c r="B91" s="5">
        <f>+'CAP-2 Program Expenses'!A106</f>
        <v>47757</v>
      </c>
      <c r="C91" s="100">
        <f>+'CAP-2 Program Expenses'!B106</f>
        <v>0</v>
      </c>
      <c r="D91" s="100">
        <f>+'CAP-2 Program Expenses'!C106</f>
        <v>0</v>
      </c>
      <c r="E91" s="100">
        <f t="shared" si="14"/>
        <v>0</v>
      </c>
      <c r="F91" s="100">
        <f>'Financing Unamortized Balance'!BY54</f>
        <v>34952596.241415747</v>
      </c>
      <c r="G91" s="100">
        <f>+SUM($E$15:E91)+F91</f>
        <v>482315713.26537186</v>
      </c>
      <c r="H91" s="100">
        <f>((SUM($C$15:C90)+C91))/12/$F$5</f>
        <v>2953345.4079837115</v>
      </c>
      <c r="I91" s="100">
        <f>(SUM($D$15:D90)+D91)/12/$F$5</f>
        <v>774680.56721592345</v>
      </c>
      <c r="J91" s="100">
        <f>SUM($H$16:I91)</f>
        <v>195678025.93321538</v>
      </c>
      <c r="K91" s="100">
        <f>SUM($C$16:D91)-J91+F91</f>
        <v>286637687.3321563</v>
      </c>
      <c r="L91" s="100">
        <f t="shared" si="16"/>
        <v>34952596.241415747</v>
      </c>
      <c r="M91" s="100">
        <f t="shared" si="15"/>
        <v>38680622.216615379</v>
      </c>
      <c r="N91" s="100">
        <f t="shared" si="22"/>
        <v>-1047948.1016286167</v>
      </c>
      <c r="O91" s="100">
        <f t="shared" si="17"/>
        <v>71594720.597053811</v>
      </c>
      <c r="P91" s="100">
        <f t="shared" si="18"/>
        <v>70546772.495425195</v>
      </c>
      <c r="Q91" s="103">
        <f t="shared" si="19"/>
        <v>216090914.83673111</v>
      </c>
      <c r="R91" s="103">
        <f t="shared" si="23"/>
        <v>1644091.7103827957</v>
      </c>
      <c r="S91" s="103">
        <f>+'CAP-2 Program Expenses'!F106</f>
        <v>0</v>
      </c>
      <c r="T91" s="103">
        <f t="shared" si="20"/>
        <v>5372117.685582431</v>
      </c>
      <c r="U91" s="1"/>
      <c r="V91" s="1"/>
      <c r="W91" s="103">
        <f>+Q91*'CAP-1 WACC'!$F$10/12</f>
        <v>396166.67720067367</v>
      </c>
      <c r="Z91" s="44">
        <v>6221512.1614215104</v>
      </c>
      <c r="AA91" s="47">
        <f t="shared" si="21"/>
        <v>-2493486.1862218753</v>
      </c>
    </row>
    <row r="92" spans="2:27" s="44" customFormat="1" ht="15.75" x14ac:dyDescent="0.25">
      <c r="B92" s="5">
        <f>+'CAP-2 Program Expenses'!A107</f>
        <v>47788</v>
      </c>
      <c r="C92" s="100">
        <f>+'CAP-2 Program Expenses'!B107</f>
        <v>0</v>
      </c>
      <c r="D92" s="100">
        <f>+'CAP-2 Program Expenses'!C107</f>
        <v>0</v>
      </c>
      <c r="E92" s="100">
        <f t="shared" si="14"/>
        <v>0</v>
      </c>
      <c r="F92" s="100">
        <f>'Financing Unamortized Balance'!BZ54</f>
        <v>32465559.858578134</v>
      </c>
      <c r="G92" s="100">
        <f>+SUM($E$15:E92)+F92</f>
        <v>479828676.88253427</v>
      </c>
      <c r="H92" s="100">
        <f>((SUM($C$15:C91)+C92))/12/$F$5</f>
        <v>2953345.4079837115</v>
      </c>
      <c r="I92" s="100">
        <f>(SUM($D$15:D91)+D92)/12/$F$5</f>
        <v>774680.56721592345</v>
      </c>
      <c r="J92" s="100">
        <f>SUM($H$16:I92)</f>
        <v>199406051.90841502</v>
      </c>
      <c r="K92" s="100">
        <f>SUM($C$16:D92)-J92+F92</f>
        <v>280422624.97411907</v>
      </c>
      <c r="L92" s="100">
        <f t="shared" si="16"/>
        <v>32465559.858578134</v>
      </c>
      <c r="M92" s="100">
        <f t="shared" si="15"/>
        <v>36193585.83377777</v>
      </c>
      <c r="N92" s="100">
        <f t="shared" si="22"/>
        <v>-1047948.1016286177</v>
      </c>
      <c r="O92" s="100">
        <f t="shared" si="17"/>
        <v>70546772.495425195</v>
      </c>
      <c r="P92" s="100">
        <f t="shared" si="18"/>
        <v>69498824.393796578</v>
      </c>
      <c r="Q92" s="103">
        <f t="shared" si="19"/>
        <v>210923800.5803225</v>
      </c>
      <c r="R92" s="103">
        <f t="shared" si="23"/>
        <v>1604778.5827486201</v>
      </c>
      <c r="S92" s="103">
        <f>+'CAP-2 Program Expenses'!F107</f>
        <v>0</v>
      </c>
      <c r="T92" s="103">
        <f t="shared" si="20"/>
        <v>5332804.557948255</v>
      </c>
      <c r="U92" s="1"/>
      <c r="V92" s="1"/>
      <c r="W92" s="103">
        <f>+Q92*'CAP-1 WACC'!$F$10/12</f>
        <v>386693.63439725788</v>
      </c>
      <c r="Z92" s="44">
        <v>6221512.1614215104</v>
      </c>
      <c r="AA92" s="47">
        <f t="shared" si="21"/>
        <v>-2493486.1862218753</v>
      </c>
    </row>
    <row r="93" spans="2:27" s="44" customFormat="1" ht="15.75" x14ac:dyDescent="0.25">
      <c r="B93" s="104">
        <f>+'CAP-2 Program Expenses'!A108</f>
        <v>47818</v>
      </c>
      <c r="C93" s="105">
        <f>+'CAP-2 Program Expenses'!B108</f>
        <v>0</v>
      </c>
      <c r="D93" s="105">
        <f>+'CAP-2 Program Expenses'!C108</f>
        <v>0</v>
      </c>
      <c r="E93" s="105">
        <f t="shared" si="14"/>
        <v>0</v>
      </c>
      <c r="F93" s="105">
        <f>'Financing Unamortized Balance'!CA54</f>
        <v>30024299.869108349</v>
      </c>
      <c r="G93" s="105">
        <f>+SUM($E$15:E93)+F93</f>
        <v>477387416.8930645</v>
      </c>
      <c r="H93" s="105">
        <f>((SUM($C$15:C92)+C93))/12/$F$5</f>
        <v>2953345.4079837115</v>
      </c>
      <c r="I93" s="105">
        <f>(SUM($D$15:D92)+D93)/12/$F$5</f>
        <v>774680.56721592345</v>
      </c>
      <c r="J93" s="105">
        <f>SUM($H$16:I93)</f>
        <v>203134077.88361466</v>
      </c>
      <c r="K93" s="105">
        <f>SUM($C$16:D93)-J93+F93</f>
        <v>274253339.0094496</v>
      </c>
      <c r="L93" s="105">
        <f t="shared" si="16"/>
        <v>30024299.869108349</v>
      </c>
      <c r="M93" s="105">
        <f t="shared" si="15"/>
        <v>33752325.844307981</v>
      </c>
      <c r="N93" s="105">
        <f t="shared" si="22"/>
        <v>-1047948.1016286167</v>
      </c>
      <c r="O93" s="105">
        <f t="shared" si="17"/>
        <v>69498824.393796578</v>
      </c>
      <c r="P93" s="105">
        <f t="shared" si="18"/>
        <v>68450876.292167962</v>
      </c>
      <c r="Q93" s="108">
        <f t="shared" si="19"/>
        <v>205802462.71728164</v>
      </c>
      <c r="R93" s="108">
        <f t="shared" si="23"/>
        <v>1565813.7371739843</v>
      </c>
      <c r="S93" s="108">
        <f>+'CAP-2 Program Expenses'!F108</f>
        <v>0</v>
      </c>
      <c r="T93" s="108">
        <f t="shared" si="20"/>
        <v>5293839.7123736199</v>
      </c>
      <c r="U93" s="1"/>
      <c r="V93" s="1"/>
      <c r="W93" s="108">
        <f>+Q93*'CAP-1 WACC'!$F$10/12</f>
        <v>377304.51498168294</v>
      </c>
      <c r="Z93" s="44">
        <v>6221512.1614215104</v>
      </c>
      <c r="AA93" s="47">
        <f t="shared" si="21"/>
        <v>-2493486.1862218753</v>
      </c>
    </row>
    <row r="94" spans="2:27" s="44" customFormat="1" ht="15.75" x14ac:dyDescent="0.25">
      <c r="B94" s="5">
        <f>+'CAP-2 Program Expenses'!A109</f>
        <v>47849</v>
      </c>
      <c r="C94" s="100">
        <f>+'CAP-2 Program Expenses'!B109</f>
        <v>0</v>
      </c>
      <c r="D94" s="100">
        <f>+'CAP-2 Program Expenses'!C109</f>
        <v>0</v>
      </c>
      <c r="E94" s="100">
        <f t="shared" si="14"/>
        <v>0</v>
      </c>
      <c r="F94" s="100">
        <f>'Financing Unamortized Balance'!CB54</f>
        <v>27628816.273006398</v>
      </c>
      <c r="G94" s="100">
        <f>+SUM($E$15:E94)+F94</f>
        <v>474991933.2969625</v>
      </c>
      <c r="H94" s="100">
        <f>((SUM($C$15:C93)+C94))/12/$F$5</f>
        <v>2953345.4079837115</v>
      </c>
      <c r="I94" s="100">
        <f>(SUM($D$15:D93)+D94)/12/$F$5</f>
        <v>774680.56721592345</v>
      </c>
      <c r="J94" s="100">
        <f>SUM($H$16:I94)</f>
        <v>206862103.8588143</v>
      </c>
      <c r="K94" s="100">
        <f>SUM($C$16:D94)-J94+F94</f>
        <v>268129829.43814805</v>
      </c>
      <c r="L94" s="100">
        <f t="shared" si="16"/>
        <v>27628816.273006398</v>
      </c>
      <c r="M94" s="100">
        <f t="shared" si="15"/>
        <v>31356842.248206034</v>
      </c>
      <c r="N94" s="100">
        <f t="shared" si="22"/>
        <v>-1047948.1016286177</v>
      </c>
      <c r="O94" s="100">
        <f t="shared" si="17"/>
        <v>68450876.292167962</v>
      </c>
      <c r="P94" s="100">
        <f t="shared" si="18"/>
        <v>67402928.190539345</v>
      </c>
      <c r="Q94" s="103">
        <f t="shared" si="19"/>
        <v>200726901.24760872</v>
      </c>
      <c r="R94" s="103">
        <f t="shared" si="23"/>
        <v>1527197.1736588895</v>
      </c>
      <c r="S94" s="103">
        <f>+'CAP-2 Program Expenses'!F109</f>
        <v>0</v>
      </c>
      <c r="T94" s="103">
        <f t="shared" si="20"/>
        <v>5255223.1488585249</v>
      </c>
      <c r="U94" s="1"/>
      <c r="V94" s="1"/>
      <c r="W94" s="103">
        <f>+Q94*'CAP-1 WACC'!$F$10/12</f>
        <v>367999.31895394932</v>
      </c>
      <c r="Z94" s="44">
        <v>6221512.1614215104</v>
      </c>
      <c r="AA94" s="47">
        <f t="shared" si="21"/>
        <v>-2493486.1862218753</v>
      </c>
    </row>
    <row r="95" spans="2:27" s="44" customFormat="1" ht="15.75" x14ac:dyDescent="0.25">
      <c r="B95" s="5">
        <f>+'CAP-2 Program Expenses'!A110</f>
        <v>47880</v>
      </c>
      <c r="C95" s="100">
        <f>+'CAP-2 Program Expenses'!B110</f>
        <v>0</v>
      </c>
      <c r="D95" s="100">
        <f>+'CAP-2 Program Expenses'!C110</f>
        <v>0</v>
      </c>
      <c r="E95" s="100">
        <f t="shared" si="14"/>
        <v>0</v>
      </c>
      <c r="F95" s="100">
        <f>'Financing Unamortized Balance'!CC54</f>
        <v>25332583.695368174</v>
      </c>
      <c r="G95" s="100">
        <f>+SUM($E$15:E95)+F95</f>
        <v>472695700.71932429</v>
      </c>
      <c r="H95" s="100">
        <f>((SUM($C$15:C94)+C95))/12/$F$5</f>
        <v>2953345.4079837115</v>
      </c>
      <c r="I95" s="100">
        <f>(SUM($D$15:D94)+D95)/12/$F$5</f>
        <v>774680.56721592345</v>
      </c>
      <c r="J95" s="100">
        <f>SUM($H$16:I95)</f>
        <v>210590129.83401394</v>
      </c>
      <c r="K95" s="100">
        <f>SUM($C$16:D95)-J95+F95</f>
        <v>262105570.88531017</v>
      </c>
      <c r="L95" s="100">
        <f t="shared" si="16"/>
        <v>25332583.695368174</v>
      </c>
      <c r="M95" s="100">
        <f t="shared" si="15"/>
        <v>29060609.670567811</v>
      </c>
      <c r="N95" s="100">
        <f t="shared" si="22"/>
        <v>-1047948.1016286177</v>
      </c>
      <c r="O95" s="100">
        <f t="shared" si="17"/>
        <v>67402928.190539345</v>
      </c>
      <c r="P95" s="100">
        <f t="shared" si="18"/>
        <v>66354980.088910729</v>
      </c>
      <c r="Q95" s="103">
        <f t="shared" si="19"/>
        <v>195750590.79639944</v>
      </c>
      <c r="R95" s="103">
        <f t="shared" si="23"/>
        <v>1489335.7449759389</v>
      </c>
      <c r="S95" s="103">
        <f>+'CAP-2 Program Expenses'!F110</f>
        <v>0</v>
      </c>
      <c r="T95" s="103">
        <f t="shared" si="20"/>
        <v>5217361.7201755736</v>
      </c>
      <c r="U95" s="1"/>
      <c r="V95" s="1"/>
      <c r="W95" s="103">
        <f>+Q95*'CAP-1 WACC'!$F$10/12</f>
        <v>358876.08312673232</v>
      </c>
      <c r="Z95" s="44">
        <v>6221512.1614215104</v>
      </c>
      <c r="AA95" s="47">
        <f t="shared" si="21"/>
        <v>-2493486.1862218753</v>
      </c>
    </row>
    <row r="96" spans="2:27" s="44" customFormat="1" ht="15.75" x14ac:dyDescent="0.25">
      <c r="B96" s="104">
        <f>+'CAP-2 Program Expenses'!A111</f>
        <v>47908</v>
      </c>
      <c r="C96" s="105">
        <f>+'CAP-2 Program Expenses'!B111</f>
        <v>0</v>
      </c>
      <c r="D96" s="105">
        <f>+'CAP-2 Program Expenses'!C111</f>
        <v>0</v>
      </c>
      <c r="E96" s="105">
        <f t="shared" si="14"/>
        <v>0</v>
      </c>
      <c r="F96" s="105">
        <f>'Financing Unamortized Balance'!CD54</f>
        <v>23135602.136193685</v>
      </c>
      <c r="G96" s="105">
        <f>+SUM($E$15:E96)+F96</f>
        <v>470498719.16014981</v>
      </c>
      <c r="H96" s="105">
        <f>((SUM($C$15:C95)+C96))/12/$F$5</f>
        <v>2953345.4079837115</v>
      </c>
      <c r="I96" s="105">
        <f>(SUM($D$15:D95)+D96)/12/$F$5</f>
        <v>774680.56721592345</v>
      </c>
      <c r="J96" s="105">
        <f>SUM($H$16:I96)</f>
        <v>214318155.80921358</v>
      </c>
      <c r="K96" s="105">
        <f>SUM($C$16:D96)-J96+F96</f>
        <v>256180563.35093606</v>
      </c>
      <c r="L96" s="105">
        <f t="shared" si="16"/>
        <v>23135602.136193685</v>
      </c>
      <c r="M96" s="105">
        <f t="shared" si="15"/>
        <v>26863628.111393321</v>
      </c>
      <c r="N96" s="105">
        <f t="shared" si="22"/>
        <v>-1047948.1016286177</v>
      </c>
      <c r="O96" s="105">
        <f t="shared" si="17"/>
        <v>66354980.088910729</v>
      </c>
      <c r="P96" s="105">
        <f t="shared" si="18"/>
        <v>65307031.987282112</v>
      </c>
      <c r="Q96" s="108">
        <f t="shared" si="19"/>
        <v>190873531.36365396</v>
      </c>
      <c r="R96" s="108">
        <f t="shared" si="23"/>
        <v>1452229.4511251338</v>
      </c>
      <c r="S96" s="108">
        <f>+'CAP-2 Program Expenses'!F111</f>
        <v>0</v>
      </c>
      <c r="T96" s="108">
        <f t="shared" si="20"/>
        <v>5180255.4263247689</v>
      </c>
      <c r="U96" s="1"/>
      <c r="V96" s="1"/>
      <c r="W96" s="108">
        <f>+Q96*'CAP-1 WACC'!$F$10/12</f>
        <v>349934.80750003224</v>
      </c>
      <c r="Z96" s="44">
        <v>6221512.1614215104</v>
      </c>
      <c r="AA96" s="47">
        <f t="shared" si="21"/>
        <v>-2493486.1862218753</v>
      </c>
    </row>
    <row r="97" spans="2:27" s="44" customFormat="1" ht="15.75" x14ac:dyDescent="0.25">
      <c r="B97" s="5">
        <f>+'CAP-2 Program Expenses'!A112</f>
        <v>47939</v>
      </c>
      <c r="C97" s="100">
        <f>+'CAP-2 Program Expenses'!B112</f>
        <v>0</v>
      </c>
      <c r="D97" s="100">
        <f>+'CAP-2 Program Expenses'!C112</f>
        <v>0</v>
      </c>
      <c r="E97" s="100">
        <f t="shared" si="14"/>
        <v>0</v>
      </c>
      <c r="F97" s="100">
        <f>'Financing Unamortized Balance'!CE54</f>
        <v>21037871.595482945</v>
      </c>
      <c r="G97" s="100">
        <f>+SUM($E$15:E97)+F97</f>
        <v>468400988.61943907</v>
      </c>
      <c r="H97" s="100">
        <f>((SUM($C$15:C96)+C97))/12/$F$5</f>
        <v>2953345.4079837115</v>
      </c>
      <c r="I97" s="100">
        <f>(SUM($D$15:D96)+D97)/12/$F$5</f>
        <v>774680.56721592345</v>
      </c>
      <c r="J97" s="100">
        <f>SUM($H$16:I97)</f>
        <v>218046181.78441322</v>
      </c>
      <c r="K97" s="100">
        <f>SUM($C$16:D97)-J97+F97</f>
        <v>250354806.83502567</v>
      </c>
      <c r="L97" s="100">
        <f t="shared" si="16"/>
        <v>21037871.595482945</v>
      </c>
      <c r="M97" s="100">
        <f t="shared" si="15"/>
        <v>24765897.570682582</v>
      </c>
      <c r="N97" s="100">
        <f t="shared" si="22"/>
        <v>-1047948.1016286177</v>
      </c>
      <c r="O97" s="100">
        <f t="shared" si="17"/>
        <v>65307031.987282112</v>
      </c>
      <c r="P97" s="100">
        <f t="shared" si="18"/>
        <v>64259083.885653496</v>
      </c>
      <c r="Q97" s="103">
        <f t="shared" si="19"/>
        <v>186095722.94937217</v>
      </c>
      <c r="R97" s="103">
        <f t="shared" si="23"/>
        <v>1415878.2921064731</v>
      </c>
      <c r="S97" s="103">
        <f>+'CAP-2 Program Expenses'!F112</f>
        <v>0</v>
      </c>
      <c r="T97" s="103">
        <f t="shared" si="20"/>
        <v>5143904.267306108</v>
      </c>
      <c r="U97" s="1"/>
      <c r="V97" s="1"/>
      <c r="W97" s="103">
        <f>+Q97*'CAP-1 WACC'!$F$10/12</f>
        <v>341175.49207384896</v>
      </c>
      <c r="Z97" s="44">
        <v>6221512.1614215104</v>
      </c>
      <c r="AA97" s="47">
        <f t="shared" si="21"/>
        <v>-2493486.1862218753</v>
      </c>
    </row>
    <row r="98" spans="2:27" s="44" customFormat="1" ht="15.75" x14ac:dyDescent="0.25">
      <c r="B98" s="5">
        <f>+'CAP-2 Program Expenses'!A113</f>
        <v>47969</v>
      </c>
      <c r="C98" s="100">
        <f>+'CAP-2 Program Expenses'!B113</f>
        <v>0</v>
      </c>
      <c r="D98" s="100">
        <f>+'CAP-2 Program Expenses'!C113</f>
        <v>0</v>
      </c>
      <c r="E98" s="100">
        <f t="shared" si="14"/>
        <v>0</v>
      </c>
      <c r="F98" s="100">
        <f>'Financing Unamortized Balance'!CF54</f>
        <v>19039392.073235936</v>
      </c>
      <c r="G98" s="100">
        <f>+SUM($E$15:E98)+F98</f>
        <v>466402509.09719205</v>
      </c>
      <c r="H98" s="100">
        <f>((SUM($C$15:C97)+C98))/12/$F$5</f>
        <v>2953345.4079837115</v>
      </c>
      <c r="I98" s="100">
        <f>(SUM($D$15:D97)+D98)/12/$F$5</f>
        <v>774680.56721592345</v>
      </c>
      <c r="J98" s="100">
        <f>SUM($H$16:I98)</f>
        <v>221774207.75961286</v>
      </c>
      <c r="K98" s="100">
        <f>SUM($C$16:D98)-J98+F98</f>
        <v>244628301.33757901</v>
      </c>
      <c r="L98" s="100">
        <f t="shared" si="16"/>
        <v>19039392.073235936</v>
      </c>
      <c r="M98" s="100">
        <f t="shared" si="15"/>
        <v>22767418.048435573</v>
      </c>
      <c r="N98" s="100">
        <f t="shared" si="22"/>
        <v>-1047948.1016286177</v>
      </c>
      <c r="O98" s="100">
        <f t="shared" si="17"/>
        <v>64259083.885653496</v>
      </c>
      <c r="P98" s="100">
        <f t="shared" si="18"/>
        <v>63211135.784024879</v>
      </c>
      <c r="Q98" s="103">
        <f t="shared" si="19"/>
        <v>181417165.55355412</v>
      </c>
      <c r="R98" s="103">
        <f t="shared" si="23"/>
        <v>1380282.2679199574</v>
      </c>
      <c r="S98" s="103">
        <f>+'CAP-2 Program Expenses'!F113</f>
        <v>0</v>
      </c>
      <c r="T98" s="103">
        <f t="shared" si="20"/>
        <v>5108308.2431195928</v>
      </c>
      <c r="U98" s="1"/>
      <c r="V98" s="1"/>
      <c r="W98" s="103">
        <f>+Q98*'CAP-1 WACC'!$F$10/12</f>
        <v>332598.13684818253</v>
      </c>
      <c r="Z98" s="44">
        <v>6221512.1614215104</v>
      </c>
      <c r="AA98" s="47">
        <f t="shared" si="21"/>
        <v>-2493486.1862218753</v>
      </c>
    </row>
    <row r="99" spans="2:27" s="44" customFormat="1" ht="15.75" x14ac:dyDescent="0.25">
      <c r="B99" s="104">
        <f>+'CAP-2 Program Expenses'!A114</f>
        <v>48000</v>
      </c>
      <c r="C99" s="105">
        <f>+'CAP-2 Program Expenses'!B114</f>
        <v>0</v>
      </c>
      <c r="D99" s="105">
        <f>+'CAP-2 Program Expenses'!C114</f>
        <v>0</v>
      </c>
      <c r="E99" s="105">
        <f t="shared" si="14"/>
        <v>0</v>
      </c>
      <c r="F99" s="105">
        <f>'Financing Unamortized Balance'!CG54</f>
        <v>17140163.569452651</v>
      </c>
      <c r="G99" s="105">
        <f>+SUM($E$15:E99)+F99</f>
        <v>464503280.59340876</v>
      </c>
      <c r="H99" s="105">
        <f>((SUM($C$15:C98)+C99))/12/$F$5</f>
        <v>2953345.4079837115</v>
      </c>
      <c r="I99" s="105">
        <f>(SUM($D$15:D98)+D99)/12/$F$5</f>
        <v>774680.56721592345</v>
      </c>
      <c r="J99" s="105">
        <f>SUM($H$16:I99)</f>
        <v>225502233.7348125</v>
      </c>
      <c r="K99" s="105">
        <f>SUM($C$16:D99)-J99+F99</f>
        <v>239001046.85859609</v>
      </c>
      <c r="L99" s="105">
        <f t="shared" si="16"/>
        <v>17140163.569452651</v>
      </c>
      <c r="M99" s="105">
        <f t="shared" si="15"/>
        <v>20868189.544652287</v>
      </c>
      <c r="N99" s="105">
        <f t="shared" si="22"/>
        <v>-1047948.1016286177</v>
      </c>
      <c r="O99" s="105">
        <f t="shared" si="17"/>
        <v>63211135.784024879</v>
      </c>
      <c r="P99" s="105">
        <f t="shared" si="18"/>
        <v>62163187.682396263</v>
      </c>
      <c r="Q99" s="108">
        <f t="shared" si="19"/>
        <v>176837859.17619982</v>
      </c>
      <c r="R99" s="108">
        <f t="shared" si="23"/>
        <v>1345441.3785655869</v>
      </c>
      <c r="S99" s="108">
        <f>+'CAP-2 Program Expenses'!F114</f>
        <v>0</v>
      </c>
      <c r="T99" s="108">
        <f t="shared" si="20"/>
        <v>5073467.3537652222</v>
      </c>
      <c r="U99" s="1"/>
      <c r="V99" s="1"/>
      <c r="W99" s="108">
        <f>+Q99*'CAP-1 WACC'!$F$10/12</f>
        <v>324202.74182303302</v>
      </c>
      <c r="Z99" s="44">
        <v>6221512.1614215104</v>
      </c>
      <c r="AA99" s="47">
        <f t="shared" si="21"/>
        <v>-2493486.1862218753</v>
      </c>
    </row>
    <row r="100" spans="2:27" s="44" customFormat="1" ht="15.75" x14ac:dyDescent="0.25">
      <c r="B100" s="5">
        <f>+'CAP-2 Program Expenses'!A115</f>
        <v>48030</v>
      </c>
      <c r="C100" s="100">
        <f>+'CAP-2 Program Expenses'!B115</f>
        <v>0</v>
      </c>
      <c r="D100" s="100">
        <f>+'CAP-2 Program Expenses'!C115</f>
        <v>0</v>
      </c>
      <c r="E100" s="100">
        <f t="shared" si="14"/>
        <v>0</v>
      </c>
      <c r="F100" s="100">
        <f>'Financing Unamortized Balance'!CH54</f>
        <v>15340186.084133107</v>
      </c>
      <c r="G100" s="100">
        <f>+SUM($E$15:E100)+F100</f>
        <v>462703303.10808921</v>
      </c>
      <c r="H100" s="100">
        <f>((SUM($C$15:C99)+C100))/12/$F$5</f>
        <v>2953345.4079837115</v>
      </c>
      <c r="I100" s="100">
        <f>(SUM($D$15:D99)+D100)/12/$F$5</f>
        <v>774680.56721592345</v>
      </c>
      <c r="J100" s="100">
        <f>SUM($H$16:I100)</f>
        <v>229230259.71001214</v>
      </c>
      <c r="K100" s="100">
        <f>SUM($C$16:D100)-J100+F100</f>
        <v>233473043.39807692</v>
      </c>
      <c r="L100" s="100">
        <f t="shared" si="16"/>
        <v>15340186.084133107</v>
      </c>
      <c r="M100" s="100">
        <f t="shared" si="15"/>
        <v>19068212.059332743</v>
      </c>
      <c r="N100" s="100">
        <f t="shared" si="22"/>
        <v>-1047948.1016286177</v>
      </c>
      <c r="O100" s="100">
        <f t="shared" si="17"/>
        <v>62163187.682396263</v>
      </c>
      <c r="P100" s="100">
        <f t="shared" si="18"/>
        <v>61115239.580767646</v>
      </c>
      <c r="Q100" s="103">
        <f t="shared" si="19"/>
        <v>172357803.81730926</v>
      </c>
      <c r="R100" s="103">
        <f t="shared" si="23"/>
        <v>1311355.6240433611</v>
      </c>
      <c r="S100" s="103">
        <f>+'CAP-2 Program Expenses'!F115</f>
        <v>0</v>
      </c>
      <c r="T100" s="103">
        <f t="shared" si="20"/>
        <v>5039381.5992429964</v>
      </c>
      <c r="U100" s="1"/>
      <c r="V100" s="1"/>
      <c r="W100" s="103">
        <f>+Q100*'CAP-1 WACC'!$F$10/12</f>
        <v>315989.30699840031</v>
      </c>
      <c r="Z100" s="44">
        <v>6221512.1614215104</v>
      </c>
      <c r="AA100" s="47">
        <f t="shared" si="21"/>
        <v>-2493486.1862218753</v>
      </c>
    </row>
    <row r="101" spans="2:27" s="44" customFormat="1" ht="15.75" x14ac:dyDescent="0.25">
      <c r="B101" s="5">
        <f>+'CAP-2 Program Expenses'!A116</f>
        <v>48061</v>
      </c>
      <c r="C101" s="100">
        <f>+'CAP-2 Program Expenses'!B116</f>
        <v>0</v>
      </c>
      <c r="D101" s="100">
        <f>+'CAP-2 Program Expenses'!C116</f>
        <v>0</v>
      </c>
      <c r="E101" s="100">
        <f t="shared" si="14"/>
        <v>0</v>
      </c>
      <c r="F101" s="100">
        <f>'Financing Unamortized Balance'!CI54</f>
        <v>13639459.617277291</v>
      </c>
      <c r="G101" s="100">
        <f>+SUM($E$15:E101)+F101</f>
        <v>461002576.64123338</v>
      </c>
      <c r="H101" s="100">
        <f>((SUM($C$15:C100)+C101))/12/$F$5</f>
        <v>2953345.4079837115</v>
      </c>
      <c r="I101" s="100">
        <f>(SUM($D$15:D100)+D101)/12/$F$5</f>
        <v>774680.56721592345</v>
      </c>
      <c r="J101" s="100">
        <f>SUM($H$16:I101)</f>
        <v>232958285.68521178</v>
      </c>
      <c r="K101" s="100">
        <f>SUM($C$16:D101)-J101+F101</f>
        <v>228044290.95602146</v>
      </c>
      <c r="L101" s="100">
        <f t="shared" si="16"/>
        <v>13639459.617277291</v>
      </c>
      <c r="M101" s="100">
        <f t="shared" si="15"/>
        <v>17367485.592476927</v>
      </c>
      <c r="N101" s="100">
        <f t="shared" si="22"/>
        <v>-1047948.1016286177</v>
      </c>
      <c r="O101" s="100">
        <f t="shared" si="17"/>
        <v>61115239.580767646</v>
      </c>
      <c r="P101" s="100">
        <f t="shared" si="18"/>
        <v>60067291.47913903</v>
      </c>
      <c r="Q101" s="103">
        <f t="shared" si="19"/>
        <v>167976999.47688243</v>
      </c>
      <c r="R101" s="103">
        <f t="shared" si="23"/>
        <v>1278025.0043532804</v>
      </c>
      <c r="S101" s="103">
        <f>+'CAP-2 Program Expenses'!F116</f>
        <v>0</v>
      </c>
      <c r="T101" s="103">
        <f t="shared" si="20"/>
        <v>5006050.9795529153</v>
      </c>
      <c r="U101" s="1"/>
      <c r="V101" s="1"/>
      <c r="W101" s="103">
        <f>+Q101*'CAP-1 WACC'!$F$10/12</f>
        <v>307957.83237428445</v>
      </c>
      <c r="Z101" s="44">
        <v>6221512.1614215104</v>
      </c>
      <c r="AA101" s="47">
        <f t="shared" si="21"/>
        <v>-2493486.1862218753</v>
      </c>
    </row>
    <row r="102" spans="2:27" s="44" customFormat="1" ht="15.75" x14ac:dyDescent="0.25">
      <c r="B102" s="104">
        <f>+'CAP-2 Program Expenses'!A117</f>
        <v>48092</v>
      </c>
      <c r="C102" s="105">
        <f>+'CAP-2 Program Expenses'!B117</f>
        <v>0</v>
      </c>
      <c r="D102" s="105">
        <f>+'CAP-2 Program Expenses'!C117</f>
        <v>0</v>
      </c>
      <c r="E102" s="105">
        <f t="shared" si="14"/>
        <v>0</v>
      </c>
      <c r="F102" s="105">
        <f>'Financing Unamortized Balance'!CJ54</f>
        <v>12037984.168885214</v>
      </c>
      <c r="G102" s="105">
        <f>+SUM($E$15:E102)+F102</f>
        <v>459401101.19284135</v>
      </c>
      <c r="H102" s="105">
        <f>((SUM($C$15:C101)+C102))/12/$F$5</f>
        <v>2953345.4079837115</v>
      </c>
      <c r="I102" s="105">
        <f>(SUM($D$15:D101)+D102)/12/$F$5</f>
        <v>774680.56721592345</v>
      </c>
      <c r="J102" s="105">
        <f>SUM($H$16:I102)</f>
        <v>236686311.66041142</v>
      </c>
      <c r="K102" s="105">
        <f>SUM($C$16:D102)-J102+F102</f>
        <v>222714789.53242972</v>
      </c>
      <c r="L102" s="105">
        <f t="shared" si="16"/>
        <v>12037984.168885214</v>
      </c>
      <c r="M102" s="105">
        <f t="shared" si="15"/>
        <v>15766010.144084848</v>
      </c>
      <c r="N102" s="105">
        <f t="shared" si="22"/>
        <v>-1047948.1016286173</v>
      </c>
      <c r="O102" s="105">
        <f t="shared" si="17"/>
        <v>60067291.47913903</v>
      </c>
      <c r="P102" s="105">
        <f t="shared" si="18"/>
        <v>59019343.377510414</v>
      </c>
      <c r="Q102" s="108">
        <f t="shared" si="19"/>
        <v>163695446.15491933</v>
      </c>
      <c r="R102" s="108">
        <f t="shared" si="23"/>
        <v>1245449.5194953445</v>
      </c>
      <c r="S102" s="108">
        <f>+'CAP-2 Program Expenses'!F117</f>
        <v>0</v>
      </c>
      <c r="T102" s="108">
        <f t="shared" si="20"/>
        <v>4973475.4946949799</v>
      </c>
      <c r="U102" s="1"/>
      <c r="V102" s="1"/>
      <c r="W102" s="108">
        <f>+Q102*'CAP-1 WACC'!$F$10/12</f>
        <v>300108.31795068545</v>
      </c>
      <c r="Z102" s="44">
        <v>6221512.1614215104</v>
      </c>
      <c r="AA102" s="47">
        <f t="shared" si="21"/>
        <v>-2493486.1862218753</v>
      </c>
    </row>
    <row r="103" spans="2:27" s="44" customFormat="1" ht="15.75" x14ac:dyDescent="0.25">
      <c r="B103" s="5">
        <f>+'CAP-2 Program Expenses'!A118</f>
        <v>48122</v>
      </c>
      <c r="C103" s="100">
        <f>+'CAP-2 Program Expenses'!B118</f>
        <v>0</v>
      </c>
      <c r="D103" s="100">
        <f>+'CAP-2 Program Expenses'!C118</f>
        <v>0</v>
      </c>
      <c r="E103" s="100">
        <f t="shared" si="14"/>
        <v>0</v>
      </c>
      <c r="F103" s="100">
        <f>'Financing Unamortized Balance'!CK54</f>
        <v>10535759.738956872</v>
      </c>
      <c r="G103" s="100">
        <f>+SUM($E$15:E103)+F103</f>
        <v>457898876.76291299</v>
      </c>
      <c r="H103" s="100">
        <f>((SUM($C$15:C102)+C103))/12/$F$5</f>
        <v>2953345.4079837115</v>
      </c>
      <c r="I103" s="100">
        <f>(SUM($D$15:D102)+D103)/12/$F$5</f>
        <v>774680.56721592345</v>
      </c>
      <c r="J103" s="100">
        <f>SUM($H$16:I103)</f>
        <v>240414337.63561106</v>
      </c>
      <c r="K103" s="100">
        <f>SUM($C$16:D103)-J103+F103</f>
        <v>217484539.12730175</v>
      </c>
      <c r="L103" s="100">
        <f t="shared" si="16"/>
        <v>10535759.738956872</v>
      </c>
      <c r="M103" s="100">
        <f t="shared" si="15"/>
        <v>14263785.714156508</v>
      </c>
      <c r="N103" s="100">
        <f t="shared" si="22"/>
        <v>-1047948.1016286177</v>
      </c>
      <c r="O103" s="100">
        <f t="shared" si="17"/>
        <v>59019343.377510414</v>
      </c>
      <c r="P103" s="100">
        <f t="shared" si="18"/>
        <v>57971395.275881797</v>
      </c>
      <c r="Q103" s="103">
        <f t="shared" si="19"/>
        <v>159513143.85141996</v>
      </c>
      <c r="R103" s="103">
        <f t="shared" si="23"/>
        <v>1213629.1694695533</v>
      </c>
      <c r="S103" s="103">
        <f>+'CAP-2 Program Expenses'!F118</f>
        <v>0</v>
      </c>
      <c r="T103" s="103">
        <f t="shared" si="20"/>
        <v>4941655.1446691882</v>
      </c>
      <c r="U103" s="1"/>
      <c r="V103" s="1"/>
      <c r="W103" s="103">
        <f>+Q103*'CAP-1 WACC'!$F$10/12</f>
        <v>292440.76372760325</v>
      </c>
      <c r="Z103" s="44">
        <v>6221512.1614215104</v>
      </c>
      <c r="AA103" s="47">
        <f t="shared" si="21"/>
        <v>-2493486.1862218753</v>
      </c>
    </row>
    <row r="104" spans="2:27" s="44" customFormat="1" ht="15.75" x14ac:dyDescent="0.25">
      <c r="B104" s="5">
        <f>+'CAP-2 Program Expenses'!A119</f>
        <v>48153</v>
      </c>
      <c r="C104" s="100">
        <f>+'CAP-2 Program Expenses'!B119</f>
        <v>0</v>
      </c>
      <c r="D104" s="100">
        <f>+'CAP-2 Program Expenses'!C119</f>
        <v>0</v>
      </c>
      <c r="E104" s="100">
        <f t="shared" si="14"/>
        <v>0</v>
      </c>
      <c r="F104" s="100">
        <f>'Financing Unamortized Balance'!CL54</f>
        <v>9132786.327492265</v>
      </c>
      <c r="G104" s="100">
        <f>+SUM($E$15:E104)+F104</f>
        <v>456495903.35144836</v>
      </c>
      <c r="H104" s="100">
        <f>((SUM($C$15:C103)+C104))/12/$F$5</f>
        <v>2953345.4079837115</v>
      </c>
      <c r="I104" s="100">
        <f>(SUM($D$15:D103)+D104)/12/$F$5</f>
        <v>774680.56721592345</v>
      </c>
      <c r="J104" s="100">
        <f>SUM($H$16:I104)</f>
        <v>244142363.6108107</v>
      </c>
      <c r="K104" s="100">
        <f>SUM($C$16:D104)-J104+F104</f>
        <v>212353539.74063751</v>
      </c>
      <c r="L104" s="100">
        <f t="shared" si="16"/>
        <v>9132786.327492265</v>
      </c>
      <c r="M104" s="100">
        <f t="shared" si="15"/>
        <v>12860812.302691899</v>
      </c>
      <c r="N104" s="100">
        <f t="shared" si="22"/>
        <v>-1047948.1016286173</v>
      </c>
      <c r="O104" s="100">
        <f t="shared" si="17"/>
        <v>57971395.275881797</v>
      </c>
      <c r="P104" s="100">
        <f t="shared" si="18"/>
        <v>56923447.174253181</v>
      </c>
      <c r="Q104" s="103">
        <f t="shared" si="19"/>
        <v>155430092.56638432</v>
      </c>
      <c r="R104" s="103">
        <f t="shared" si="23"/>
        <v>1182563.9542759073</v>
      </c>
      <c r="S104" s="103">
        <f>+'CAP-2 Program Expenses'!F119</f>
        <v>0</v>
      </c>
      <c r="T104" s="103">
        <f t="shared" si="20"/>
        <v>4910589.9294755422</v>
      </c>
      <c r="U104" s="1"/>
      <c r="V104" s="1"/>
      <c r="W104" s="103">
        <f>+Q104*'CAP-1 WACC'!$F$10/12</f>
        <v>284955.1697050379</v>
      </c>
      <c r="Z104" s="44">
        <v>6221512.1614215104</v>
      </c>
      <c r="AA104" s="47">
        <f t="shared" si="21"/>
        <v>-2493486.1862218753</v>
      </c>
    </row>
    <row r="105" spans="2:27" s="44" customFormat="1" ht="15.75" x14ac:dyDescent="0.25">
      <c r="B105" s="104">
        <f>+'CAP-2 Program Expenses'!A120</f>
        <v>48183</v>
      </c>
      <c r="C105" s="105">
        <f>+'CAP-2 Program Expenses'!B120</f>
        <v>0</v>
      </c>
      <c r="D105" s="105">
        <f>+'CAP-2 Program Expenses'!C120</f>
        <v>0</v>
      </c>
      <c r="E105" s="105">
        <f t="shared" si="14"/>
        <v>0</v>
      </c>
      <c r="F105" s="105">
        <f>'Financing Unamortized Balance'!CM54</f>
        <v>7829063.9344913885</v>
      </c>
      <c r="G105" s="105">
        <f>+SUM($E$15:E105)+F105</f>
        <v>455192180.95844752</v>
      </c>
      <c r="H105" s="105">
        <f>((SUM($C$15:C104)+C105))/12/$F$5</f>
        <v>2953345.4079837115</v>
      </c>
      <c r="I105" s="105">
        <f>(SUM($D$15:D104)+D105)/12/$F$5</f>
        <v>774680.56721592345</v>
      </c>
      <c r="J105" s="105">
        <f>SUM($H$16:I105)</f>
        <v>247870389.58601034</v>
      </c>
      <c r="K105" s="105">
        <f>SUM($C$16:D105)-J105+F105</f>
        <v>207321791.372437</v>
      </c>
      <c r="L105" s="105">
        <f t="shared" si="16"/>
        <v>7829063.9344913885</v>
      </c>
      <c r="M105" s="105">
        <f t="shared" si="15"/>
        <v>11557089.909691025</v>
      </c>
      <c r="N105" s="105">
        <f t="shared" si="22"/>
        <v>-1047948.1016286177</v>
      </c>
      <c r="O105" s="105">
        <f t="shared" si="17"/>
        <v>56923447.174253181</v>
      </c>
      <c r="P105" s="105">
        <f t="shared" si="18"/>
        <v>55875499.072624564</v>
      </c>
      <c r="Q105" s="108">
        <f t="shared" si="19"/>
        <v>151446292.29981244</v>
      </c>
      <c r="R105" s="108">
        <f t="shared" si="23"/>
        <v>1152253.8739144062</v>
      </c>
      <c r="S105" s="108">
        <f>+'CAP-2 Program Expenses'!F120</f>
        <v>0</v>
      </c>
      <c r="T105" s="108">
        <f t="shared" si="20"/>
        <v>4880279.8491140418</v>
      </c>
      <c r="U105" s="1"/>
      <c r="V105" s="1"/>
      <c r="W105" s="108">
        <f>+Q105*'CAP-1 WACC'!$F$10/12</f>
        <v>277651.53588298947</v>
      </c>
      <c r="Z105" s="44">
        <v>6221512.1614215104</v>
      </c>
      <c r="AA105" s="47">
        <f t="shared" si="21"/>
        <v>-2493486.1862218753</v>
      </c>
    </row>
    <row r="106" spans="2:27" s="44" customFormat="1" ht="15.75" x14ac:dyDescent="0.25">
      <c r="B106" s="5">
        <f>+'CAP-2 Program Expenses'!A121</f>
        <v>48214</v>
      </c>
      <c r="C106" s="100">
        <f>+'CAP-2 Program Expenses'!B121</f>
        <v>0</v>
      </c>
      <c r="D106" s="100">
        <f>+'CAP-2 Program Expenses'!C121</f>
        <v>0</v>
      </c>
      <c r="E106" s="100">
        <f t="shared" si="14"/>
        <v>0</v>
      </c>
      <c r="F106" s="100">
        <f>'Financing Unamortized Balance'!CN54</f>
        <v>6624592.5599542465</v>
      </c>
      <c r="G106" s="100">
        <f>+SUM($E$15:E106)+F106</f>
        <v>453987709.58391035</v>
      </c>
      <c r="H106" s="100">
        <f>((SUM($C$15:C105)+C106))/12/$F$5</f>
        <v>2953345.4079837115</v>
      </c>
      <c r="I106" s="100">
        <f>(SUM($D$15:D105)+D106)/12/$F$5</f>
        <v>774680.56721592345</v>
      </c>
      <c r="J106" s="100">
        <f>SUM($H$16:I106)</f>
        <v>251598415.56120998</v>
      </c>
      <c r="K106" s="100">
        <f>SUM($C$16:D106)-J106+F106</f>
        <v>202389294.02270022</v>
      </c>
      <c r="L106" s="100">
        <f t="shared" si="16"/>
        <v>6624592.5599542465</v>
      </c>
      <c r="M106" s="100">
        <f t="shared" si="15"/>
        <v>10352618.535153881</v>
      </c>
      <c r="N106" s="100">
        <f t="shared" si="22"/>
        <v>-1047948.1016286173</v>
      </c>
      <c r="O106" s="100">
        <f t="shared" si="17"/>
        <v>55875499.072624564</v>
      </c>
      <c r="P106" s="100">
        <f t="shared" si="18"/>
        <v>54827550.970995948</v>
      </c>
      <c r="Q106" s="103">
        <f t="shared" si="19"/>
        <v>147561743.05170429</v>
      </c>
      <c r="R106" s="103">
        <f t="shared" si="23"/>
        <v>1122698.92838505</v>
      </c>
      <c r="S106" s="103">
        <f>+'CAP-2 Program Expenses'!F121</f>
        <v>0</v>
      </c>
      <c r="T106" s="103">
        <f t="shared" si="20"/>
        <v>4850724.9035846852</v>
      </c>
      <c r="U106" s="1"/>
      <c r="V106" s="1"/>
      <c r="W106" s="103">
        <f>+Q106*'CAP-1 WACC'!$F$10/12</f>
        <v>270529.86226145783</v>
      </c>
      <c r="Z106" s="44">
        <v>6221512.1614215104</v>
      </c>
      <c r="AA106" s="47">
        <f t="shared" si="21"/>
        <v>-2493486.1862218753</v>
      </c>
    </row>
    <row r="107" spans="2:27" s="44" customFormat="1" ht="15.75" x14ac:dyDescent="0.25">
      <c r="B107" s="5">
        <f>+'CAP-2 Program Expenses'!A122</f>
        <v>48245</v>
      </c>
      <c r="C107" s="100">
        <f>+'CAP-2 Program Expenses'!B122</f>
        <v>0</v>
      </c>
      <c r="D107" s="100">
        <f>+'CAP-2 Program Expenses'!C122</f>
        <v>0</v>
      </c>
      <c r="E107" s="100">
        <f t="shared" si="14"/>
        <v>0</v>
      </c>
      <c r="F107" s="100">
        <f>'Financing Unamortized Balance'!CO54</f>
        <v>5520493.7999618649</v>
      </c>
      <c r="G107" s="100">
        <f>+SUM($E$15:E107)+F107</f>
        <v>452883610.82391798</v>
      </c>
      <c r="H107" s="100">
        <f>((SUM($C$15:C106)+C107))/12/$F$5</f>
        <v>2953345.4079837115</v>
      </c>
      <c r="I107" s="100">
        <f>(SUM($D$15:D106)+D107)/12/$F$5</f>
        <v>774680.56721592345</v>
      </c>
      <c r="J107" s="100">
        <f>SUM($H$16:I107)</f>
        <v>255326441.53640962</v>
      </c>
      <c r="K107" s="100">
        <f>SUM($C$16:D107)-J107+F107</f>
        <v>197557169.28750819</v>
      </c>
      <c r="L107" s="100">
        <f t="shared" si="16"/>
        <v>5520493.7999618649</v>
      </c>
      <c r="M107" s="100">
        <f t="shared" si="15"/>
        <v>9248519.775161501</v>
      </c>
      <c r="N107" s="100">
        <f t="shared" si="22"/>
        <v>-1047948.1016286177</v>
      </c>
      <c r="O107" s="100">
        <f t="shared" si="17"/>
        <v>54827550.970995948</v>
      </c>
      <c r="P107" s="100">
        <f t="shared" si="18"/>
        <v>53779602.869367331</v>
      </c>
      <c r="Q107" s="103">
        <f t="shared" si="19"/>
        <v>143777566.41814086</v>
      </c>
      <c r="R107" s="103">
        <f t="shared" si="23"/>
        <v>1093907.6511646882</v>
      </c>
      <c r="S107" s="103">
        <f>+'CAP-2 Program Expenses'!F122</f>
        <v>0</v>
      </c>
      <c r="T107" s="103">
        <f t="shared" si="20"/>
        <v>4821933.6263643233</v>
      </c>
      <c r="U107" s="1"/>
      <c r="V107" s="1"/>
      <c r="W107" s="103">
        <f>+Q107*'CAP-1 WACC'!$F$10/12</f>
        <v>263592.20509992487</v>
      </c>
      <c r="Z107" s="44">
        <v>6221512.1614215104</v>
      </c>
      <c r="AA107" s="47">
        <f t="shared" si="21"/>
        <v>-2493486.1862218753</v>
      </c>
    </row>
    <row r="108" spans="2:27" s="44" customFormat="1" ht="15.75" x14ac:dyDescent="0.25">
      <c r="B108" s="104">
        <f>+'CAP-2 Program Expenses'!A123</f>
        <v>48274</v>
      </c>
      <c r="C108" s="105">
        <f>+'CAP-2 Program Expenses'!B123</f>
        <v>0</v>
      </c>
      <c r="D108" s="105">
        <f>+'CAP-2 Program Expenses'!C123</f>
        <v>0</v>
      </c>
      <c r="E108" s="105">
        <f t="shared" si="14"/>
        <v>0</v>
      </c>
      <c r="F108" s="105">
        <f>'Financing Unamortized Balance'!CP54</f>
        <v>4516767.6545142494</v>
      </c>
      <c r="G108" s="105">
        <f>+SUM($E$15:E108)+F108</f>
        <v>451879884.67847037</v>
      </c>
      <c r="H108" s="105">
        <f>((SUM($C$15:C107)+C108))/12/$F$5</f>
        <v>2953345.4079837115</v>
      </c>
      <c r="I108" s="105">
        <f>(SUM($D$15:D107)+D108)/12/$F$5</f>
        <v>774680.56721592345</v>
      </c>
      <c r="J108" s="105">
        <f>SUM($H$16:I108)</f>
        <v>259054467.51160926</v>
      </c>
      <c r="K108" s="105">
        <f>SUM($C$16:D108)-J108+F108</f>
        <v>192825417.16686094</v>
      </c>
      <c r="L108" s="105">
        <f t="shared" si="16"/>
        <v>4516767.6545142494</v>
      </c>
      <c r="M108" s="105">
        <f t="shared" si="15"/>
        <v>8244793.6297138846</v>
      </c>
      <c r="N108" s="105">
        <f t="shared" si="22"/>
        <v>-1047948.1016286175</v>
      </c>
      <c r="O108" s="105">
        <f t="shared" si="17"/>
        <v>53779602.869367331</v>
      </c>
      <c r="P108" s="105">
        <f t="shared" si="18"/>
        <v>52731654.767738715</v>
      </c>
      <c r="Q108" s="108">
        <f t="shared" si="19"/>
        <v>140093762.39912224</v>
      </c>
      <c r="R108" s="108">
        <f t="shared" si="23"/>
        <v>1065880.0422533215</v>
      </c>
      <c r="S108" s="108">
        <f>+'CAP-2 Program Expenses'!F123</f>
        <v>0</v>
      </c>
      <c r="T108" s="108">
        <f t="shared" si="20"/>
        <v>4793906.0174529571</v>
      </c>
      <c r="U108" s="1"/>
      <c r="V108" s="1"/>
      <c r="W108" s="108">
        <f>+Q108*'CAP-1 WACC'!$F$10/12</f>
        <v>256838.56439839074</v>
      </c>
      <c r="Z108" s="44">
        <v>6221512.1614215104</v>
      </c>
      <c r="AA108" s="47">
        <f t="shared" si="21"/>
        <v>-2493486.1862218753</v>
      </c>
    </row>
    <row r="109" spans="2:27" s="44" customFormat="1" ht="15.75" x14ac:dyDescent="0.25">
      <c r="B109" s="5">
        <f>+'CAP-2 Program Expenses'!A124</f>
        <v>48305</v>
      </c>
      <c r="C109" s="100">
        <f>+'CAP-2 Program Expenses'!B124</f>
        <v>0</v>
      </c>
      <c r="D109" s="100">
        <f>+'CAP-2 Program Expenses'!C124</f>
        <v>0</v>
      </c>
      <c r="E109" s="100">
        <f t="shared" si="14"/>
        <v>0</v>
      </c>
      <c r="F109" s="100">
        <f>'Financing Unamortized Balance'!CQ54</f>
        <v>3613414.1236113948</v>
      </c>
      <c r="G109" s="100">
        <f>+SUM($E$15:E109)+F109</f>
        <v>450976531.14756751</v>
      </c>
      <c r="H109" s="100">
        <f>((SUM($C$15:C108)+C109))/12/$F$5</f>
        <v>2953345.4079837115</v>
      </c>
      <c r="I109" s="100">
        <f>(SUM($D$15:D108)+D109)/12/$F$5</f>
        <v>774680.56721592345</v>
      </c>
      <c r="J109" s="100">
        <f>SUM($H$16:I109)</f>
        <v>262782493.4868089</v>
      </c>
      <c r="K109" s="100">
        <f>SUM($C$16:D109)-J109+F109</f>
        <v>188194037.66075844</v>
      </c>
      <c r="L109" s="100">
        <f t="shared" si="16"/>
        <v>3613414.1236113948</v>
      </c>
      <c r="M109" s="100">
        <f t="shared" si="15"/>
        <v>7341440.0988110304</v>
      </c>
      <c r="N109" s="100">
        <f t="shared" si="22"/>
        <v>-1047948.1016286176</v>
      </c>
      <c r="O109" s="100">
        <f t="shared" si="17"/>
        <v>52731654.767738715</v>
      </c>
      <c r="P109" s="100">
        <f t="shared" si="18"/>
        <v>51683706.666110098</v>
      </c>
      <c r="Q109" s="103">
        <f t="shared" si="19"/>
        <v>136510330.99464834</v>
      </c>
      <c r="R109" s="103">
        <f t="shared" si="23"/>
        <v>1038616.1016509493</v>
      </c>
      <c r="S109" s="103">
        <f>+'CAP-2 Program Expenses'!F124</f>
        <v>0</v>
      </c>
      <c r="T109" s="103">
        <f t="shared" si="20"/>
        <v>4766642.0768505847</v>
      </c>
      <c r="U109" s="1"/>
      <c r="V109" s="1"/>
      <c r="W109" s="103">
        <f>+Q109*'CAP-1 WACC'!$F$10/12</f>
        <v>250268.94015685527</v>
      </c>
      <c r="Z109" s="44">
        <v>6221512.1614215104</v>
      </c>
      <c r="AA109" s="47">
        <f t="shared" si="21"/>
        <v>-2493486.1862218753</v>
      </c>
    </row>
    <row r="110" spans="2:27" s="44" customFormat="1" ht="15.75" x14ac:dyDescent="0.25">
      <c r="B110" s="5">
        <f>+'CAP-2 Program Expenses'!A125</f>
        <v>48335</v>
      </c>
      <c r="C110" s="100">
        <f>+'CAP-2 Program Expenses'!B125</f>
        <v>0</v>
      </c>
      <c r="D110" s="100">
        <f>+'CAP-2 Program Expenses'!C125</f>
        <v>0</v>
      </c>
      <c r="E110" s="100">
        <f t="shared" si="14"/>
        <v>0</v>
      </c>
      <c r="F110" s="100">
        <f>'Financing Unamortized Balance'!CR54</f>
        <v>2810433.2072533001</v>
      </c>
      <c r="G110" s="100">
        <f>+SUM($E$15:E110)+F110</f>
        <v>450173550.2312094</v>
      </c>
      <c r="H110" s="100">
        <f>((SUM($C$15:C109)+C110))/12/$F$5</f>
        <v>2953345.4079837115</v>
      </c>
      <c r="I110" s="100">
        <f>(SUM($D$15:D109)+D110)/12/$F$5</f>
        <v>774680.56721592345</v>
      </c>
      <c r="J110" s="100">
        <f>SUM($H$16:I110)</f>
        <v>266510519.46200854</v>
      </c>
      <c r="K110" s="100">
        <f>SUM($C$16:D110)-J110+F110</f>
        <v>183663030.76920071</v>
      </c>
      <c r="L110" s="100">
        <f t="shared" si="16"/>
        <v>2810433.2072533001</v>
      </c>
      <c r="M110" s="100">
        <f t="shared" si="15"/>
        <v>6538459.1824529357</v>
      </c>
      <c r="N110" s="100">
        <f t="shared" si="22"/>
        <v>-1047948.1016286176</v>
      </c>
      <c r="O110" s="100">
        <f t="shared" si="17"/>
        <v>51683706.666110098</v>
      </c>
      <c r="P110" s="100">
        <f t="shared" si="18"/>
        <v>50635758.564481482</v>
      </c>
      <c r="Q110" s="103">
        <f t="shared" si="19"/>
        <v>133027272.20471923</v>
      </c>
      <c r="R110" s="103">
        <f t="shared" si="23"/>
        <v>1012115.829357572</v>
      </c>
      <c r="S110" s="103">
        <f>+'CAP-2 Program Expenses'!F125</f>
        <v>0</v>
      </c>
      <c r="T110" s="103">
        <f t="shared" si="20"/>
        <v>4740141.804557207</v>
      </c>
      <c r="U110" s="1"/>
      <c r="V110" s="1"/>
      <c r="W110" s="103">
        <f>+Q110*'CAP-1 WACC'!$F$10/12</f>
        <v>243883.3323753186</v>
      </c>
      <c r="Z110" s="44">
        <v>6221512.1614215104</v>
      </c>
      <c r="AA110" s="47">
        <f t="shared" si="21"/>
        <v>-2493486.1862218753</v>
      </c>
    </row>
    <row r="111" spans="2:27" s="44" customFormat="1" ht="15.75" x14ac:dyDescent="0.25">
      <c r="B111" s="104">
        <f>+'CAP-2 Program Expenses'!A126</f>
        <v>48366</v>
      </c>
      <c r="C111" s="105">
        <f>+'CAP-2 Program Expenses'!B126</f>
        <v>0</v>
      </c>
      <c r="D111" s="105">
        <f>+'CAP-2 Program Expenses'!C126</f>
        <v>0</v>
      </c>
      <c r="E111" s="105">
        <f t="shared" si="14"/>
        <v>0</v>
      </c>
      <c r="F111" s="105">
        <f>'Financing Unamortized Balance'!CS54</f>
        <v>2107824.9054399678</v>
      </c>
      <c r="G111" s="105">
        <f>+SUM($E$15:E111)+F111</f>
        <v>449470941.92939609</v>
      </c>
      <c r="H111" s="105">
        <f>((SUM($C$15:C110)+C111))/12/$F$5</f>
        <v>2953345.4079837115</v>
      </c>
      <c r="I111" s="105">
        <f>(SUM($D$15:D110)+D111)/12/$F$5</f>
        <v>774680.56721592345</v>
      </c>
      <c r="J111" s="105">
        <f>SUM($H$16:I111)</f>
        <v>270238545.43720818</v>
      </c>
      <c r="K111" s="105">
        <f>SUM($C$16:D111)-J111+F111</f>
        <v>179232396.49218774</v>
      </c>
      <c r="L111" s="105">
        <f t="shared" si="16"/>
        <v>2107824.9054399678</v>
      </c>
      <c r="M111" s="105">
        <f t="shared" si="15"/>
        <v>5835850.8806396034</v>
      </c>
      <c r="N111" s="105">
        <f t="shared" si="22"/>
        <v>-1047948.1016286176</v>
      </c>
      <c r="O111" s="105">
        <f t="shared" si="17"/>
        <v>50635758.564481482</v>
      </c>
      <c r="P111" s="105">
        <f t="shared" si="18"/>
        <v>49587810.462852865</v>
      </c>
      <c r="Q111" s="108">
        <f t="shared" si="19"/>
        <v>129644586.02933487</v>
      </c>
      <c r="R111" s="108">
        <f t="shared" si="23"/>
        <v>986379.22537318931</v>
      </c>
      <c r="S111" s="108">
        <f>+'CAP-2 Program Expenses'!F126</f>
        <v>0</v>
      </c>
      <c r="T111" s="108">
        <f t="shared" si="20"/>
        <v>4714405.2005728241</v>
      </c>
      <c r="U111" s="1"/>
      <c r="V111" s="1"/>
      <c r="W111" s="108">
        <f>+Q111*'CAP-1 WACC'!$F$10/12</f>
        <v>237681.74105378057</v>
      </c>
      <c r="Z111" s="44">
        <v>6221512.1614215104</v>
      </c>
      <c r="AA111" s="47">
        <f t="shared" si="21"/>
        <v>-2493486.1862218753</v>
      </c>
    </row>
    <row r="112" spans="2:27" s="44" customFormat="1" ht="15.75" x14ac:dyDescent="0.25">
      <c r="B112" s="5">
        <f>+'CAP-2 Program Expenses'!A127</f>
        <v>48396</v>
      </c>
      <c r="C112" s="100">
        <f>+'CAP-2 Program Expenses'!B127</f>
        <v>0</v>
      </c>
      <c r="D112" s="100">
        <f>+'CAP-2 Program Expenses'!C127</f>
        <v>0</v>
      </c>
      <c r="E112" s="100">
        <f t="shared" si="14"/>
        <v>0</v>
      </c>
      <c r="F112" s="100">
        <f>'Financing Unamortized Balance'!CT54</f>
        <v>1505589.2181713977</v>
      </c>
      <c r="G112" s="100">
        <f>+SUM($E$15:E112)+F112</f>
        <v>448868706.24212754</v>
      </c>
      <c r="H112" s="100">
        <f>((SUM($C$15:C111)+C112))/12/$F$5</f>
        <v>2953345.4079837115</v>
      </c>
      <c r="I112" s="100">
        <f>(SUM($D$15:D111)+D112)/12/$F$5</f>
        <v>774680.56721592345</v>
      </c>
      <c r="J112" s="100">
        <f>SUM($H$16:I112)</f>
        <v>273966571.41240782</v>
      </c>
      <c r="K112" s="100">
        <f>SUM($C$16:D112)-J112+F112</f>
        <v>174902134.82971951</v>
      </c>
      <c r="L112" s="100">
        <f t="shared" si="16"/>
        <v>1505589.2181713977</v>
      </c>
      <c r="M112" s="100">
        <f t="shared" si="15"/>
        <v>5233615.1933710333</v>
      </c>
      <c r="N112" s="100">
        <f t="shared" si="22"/>
        <v>-1047948.1016286176</v>
      </c>
      <c r="O112" s="100">
        <f t="shared" si="17"/>
        <v>49587810.462852865</v>
      </c>
      <c r="P112" s="100">
        <f t="shared" si="18"/>
        <v>48539862.361224249</v>
      </c>
      <c r="Q112" s="103">
        <f t="shared" si="19"/>
        <v>126362272.46849526</v>
      </c>
      <c r="R112" s="103">
        <f t="shared" si="23"/>
        <v>961406.28969780135</v>
      </c>
      <c r="S112" s="103">
        <f>+'CAP-2 Program Expenses'!F127</f>
        <v>0</v>
      </c>
      <c r="T112" s="103">
        <f t="shared" si="20"/>
        <v>4689432.2648974368</v>
      </c>
      <c r="U112" s="1"/>
      <c r="V112" s="1"/>
      <c r="W112" s="103">
        <f>+Q112*'CAP-1 WACC'!$F$10/12</f>
        <v>231664.16619224133</v>
      </c>
      <c r="Z112" s="44">
        <v>6221512.1614215104</v>
      </c>
      <c r="AA112" s="47">
        <f t="shared" si="21"/>
        <v>-2493486.1862218753</v>
      </c>
    </row>
    <row r="113" spans="2:27" s="44" customFormat="1" ht="15.75" x14ac:dyDescent="0.25">
      <c r="B113" s="5">
        <f>+'CAP-2 Program Expenses'!A128</f>
        <v>48427</v>
      </c>
      <c r="C113" s="100">
        <f>+'CAP-2 Program Expenses'!B128</f>
        <v>0</v>
      </c>
      <c r="D113" s="100">
        <f>+'CAP-2 Program Expenses'!C128</f>
        <v>0</v>
      </c>
      <c r="E113" s="100">
        <f t="shared" si="14"/>
        <v>0</v>
      </c>
      <c r="F113" s="100">
        <f>'Financing Unamortized Balance'!CU54</f>
        <v>1003726.1454475888</v>
      </c>
      <c r="G113" s="100">
        <f>+SUM($E$15:E113)+F113</f>
        <v>448366843.16940373</v>
      </c>
      <c r="H113" s="100">
        <f>((SUM($C$15:C112)+C113))/12/$F$5</f>
        <v>2953345.4079837115</v>
      </c>
      <c r="I113" s="100">
        <f>(SUM($D$15:D112)+D113)/12/$F$5</f>
        <v>774680.56721592345</v>
      </c>
      <c r="J113" s="100">
        <f>SUM($H$16:I113)</f>
        <v>277694597.38760746</v>
      </c>
      <c r="K113" s="100">
        <f>SUM($C$16:D113)-J113+F113</f>
        <v>170672245.78179607</v>
      </c>
      <c r="L113" s="100">
        <f t="shared" si="16"/>
        <v>1003726.1454475888</v>
      </c>
      <c r="M113" s="100">
        <f t="shared" si="15"/>
        <v>4731752.1206472237</v>
      </c>
      <c r="N113" s="100">
        <f t="shared" si="22"/>
        <v>-1047948.1016286175</v>
      </c>
      <c r="O113" s="100">
        <f t="shared" si="17"/>
        <v>48539862.361224249</v>
      </c>
      <c r="P113" s="100">
        <f t="shared" si="18"/>
        <v>47491914.259595633</v>
      </c>
      <c r="Q113" s="103">
        <f t="shared" si="19"/>
        <v>123180331.52220044</v>
      </c>
      <c r="R113" s="103">
        <f t="shared" si="23"/>
        <v>937197.02233140822</v>
      </c>
      <c r="S113" s="103">
        <f>+'CAP-2 Program Expenses'!F128</f>
        <v>0</v>
      </c>
      <c r="T113" s="103">
        <f t="shared" si="20"/>
        <v>4665222.9975310434</v>
      </c>
      <c r="U113" s="1"/>
      <c r="V113" s="1"/>
      <c r="W113" s="103">
        <f>+Q113*'CAP-1 WACC'!$F$10/12</f>
        <v>225830.60779070077</v>
      </c>
      <c r="Z113" s="44">
        <v>6221512.1614215104</v>
      </c>
      <c r="AA113" s="47">
        <f t="shared" si="21"/>
        <v>-2493486.1862218753</v>
      </c>
    </row>
    <row r="114" spans="2:27" s="44" customFormat="1" ht="15.75" x14ac:dyDescent="0.25">
      <c r="B114" s="104">
        <f>+'CAP-2 Program Expenses'!A129</f>
        <v>48458</v>
      </c>
      <c r="C114" s="105">
        <f>+'CAP-2 Program Expenses'!B129</f>
        <v>0</v>
      </c>
      <c r="D114" s="105">
        <f>+'CAP-2 Program Expenses'!C129</f>
        <v>0</v>
      </c>
      <c r="E114" s="105">
        <f t="shared" si="14"/>
        <v>0</v>
      </c>
      <c r="F114" s="105">
        <f>'Financing Unamortized Balance'!CV54</f>
        <v>602235.68726854166</v>
      </c>
      <c r="G114" s="105">
        <f>+SUM($E$15:E114)+F114</f>
        <v>447965352.71122468</v>
      </c>
      <c r="H114" s="105">
        <f>((SUM($C$15:C113)+C114))/12/$F$5</f>
        <v>2953345.4079837115</v>
      </c>
      <c r="I114" s="105">
        <f>(SUM($D$15:D113)+D114)/12/$F$5</f>
        <v>774680.56721592345</v>
      </c>
      <c r="J114" s="105">
        <f>SUM($H$16:I114)</f>
        <v>281422623.3628071</v>
      </c>
      <c r="K114" s="105">
        <f>SUM($C$16:D114)-J114+F114</f>
        <v>166542729.3484174</v>
      </c>
      <c r="L114" s="105">
        <f t="shared" si="16"/>
        <v>602235.68726854166</v>
      </c>
      <c r="M114" s="105">
        <f t="shared" si="15"/>
        <v>4330261.6624681763</v>
      </c>
      <c r="N114" s="105">
        <f t="shared" si="22"/>
        <v>-1047948.1016286174</v>
      </c>
      <c r="O114" s="105">
        <f t="shared" si="17"/>
        <v>47491914.259595633</v>
      </c>
      <c r="P114" s="105">
        <f t="shared" si="18"/>
        <v>46443966.157967016</v>
      </c>
      <c r="Q114" s="108">
        <f t="shared" si="19"/>
        <v>120098763.19045039</v>
      </c>
      <c r="R114" s="108">
        <f t="shared" si="23"/>
        <v>913751.42327400995</v>
      </c>
      <c r="S114" s="108">
        <f>+'CAP-2 Program Expenses'!F129</f>
        <v>0</v>
      </c>
      <c r="T114" s="108">
        <f t="shared" si="20"/>
        <v>4641777.3984736446</v>
      </c>
      <c r="U114" s="1"/>
      <c r="V114" s="1"/>
      <c r="W114" s="108">
        <f>+Q114*'CAP-1 WACC'!$F$10/12</f>
        <v>220181.06584915903</v>
      </c>
      <c r="Z114" s="44">
        <v>6221512.1614215104</v>
      </c>
      <c r="AA114" s="47">
        <f t="shared" si="21"/>
        <v>-2493486.1862218753</v>
      </c>
    </row>
    <row r="115" spans="2:27" s="44" customFormat="1" ht="15.75" x14ac:dyDescent="0.25">
      <c r="B115" s="5">
        <f>+'CAP-2 Program Expenses'!A130</f>
        <v>48488</v>
      </c>
      <c r="C115" s="100">
        <f>+'CAP-2 Program Expenses'!B130</f>
        <v>0</v>
      </c>
      <c r="D115" s="100">
        <f>+'CAP-2 Program Expenses'!C130</f>
        <v>0</v>
      </c>
      <c r="E115" s="100">
        <f t="shared" si="14"/>
        <v>0</v>
      </c>
      <c r="F115" s="100">
        <f>'Financing Unamortized Balance'!CW54</f>
        <v>301117.84363425645</v>
      </c>
      <c r="G115" s="100">
        <f>+SUM($E$15:E115)+F115</f>
        <v>447664234.86759037</v>
      </c>
      <c r="H115" s="100">
        <f>((SUM($C$15:C114)+C115))/12/$F$5</f>
        <v>2953345.4079837115</v>
      </c>
      <c r="I115" s="100">
        <f>(SUM($D$15:D114)+D115)/12/$F$5</f>
        <v>774680.56721592345</v>
      </c>
      <c r="J115" s="100">
        <f>SUM($H$16:I115)</f>
        <v>285150649.33800673</v>
      </c>
      <c r="K115" s="100">
        <f>SUM($C$16:D115)-J115+F115</f>
        <v>162513585.52958345</v>
      </c>
      <c r="L115" s="100">
        <f t="shared" si="16"/>
        <v>301117.84363425645</v>
      </c>
      <c r="M115" s="100">
        <f t="shared" si="15"/>
        <v>4029143.8188338918</v>
      </c>
      <c r="N115" s="100">
        <f t="shared" si="22"/>
        <v>-1047948.1016286175</v>
      </c>
      <c r="O115" s="100">
        <f t="shared" si="17"/>
        <v>46443966.157967016</v>
      </c>
      <c r="P115" s="100">
        <f t="shared" si="18"/>
        <v>45396018.0563384</v>
      </c>
      <c r="Q115" s="103">
        <f t="shared" si="19"/>
        <v>117117567.47324505</v>
      </c>
      <c r="R115" s="103">
        <f t="shared" si="23"/>
        <v>891069.49252560607</v>
      </c>
      <c r="S115" s="103">
        <f>+'CAP-2 Program Expenses'!F130</f>
        <v>0</v>
      </c>
      <c r="T115" s="103">
        <f t="shared" si="20"/>
        <v>4619095.4677252416</v>
      </c>
      <c r="U115" s="1"/>
      <c r="V115" s="1"/>
      <c r="W115" s="103">
        <f>+Q115*'CAP-1 WACC'!$F$10/12</f>
        <v>214715.5403676159</v>
      </c>
      <c r="Z115" s="44">
        <v>6221512.1614215104</v>
      </c>
      <c r="AA115" s="47">
        <f t="shared" si="21"/>
        <v>-2493486.1862218753</v>
      </c>
    </row>
    <row r="116" spans="2:27" s="44" customFormat="1" ht="15.75" x14ac:dyDescent="0.25">
      <c r="B116" s="5">
        <f>+'CAP-2 Program Expenses'!A131</f>
        <v>48519</v>
      </c>
      <c r="C116" s="100">
        <f>+'CAP-2 Program Expenses'!B131</f>
        <v>0</v>
      </c>
      <c r="D116" s="100">
        <f>+'CAP-2 Program Expenses'!C131</f>
        <v>0</v>
      </c>
      <c r="E116" s="100">
        <f t="shared" si="14"/>
        <v>0</v>
      </c>
      <c r="F116" s="100">
        <f>'Financing Unamortized Balance'!CX54</f>
        <v>100372.61454473298</v>
      </c>
      <c r="G116" s="100">
        <f>+SUM($E$15:E116)+F116</f>
        <v>447463489.63850087</v>
      </c>
      <c r="H116" s="100">
        <f>((SUM($C$15:C115)+C116))/12/$F$5</f>
        <v>2953345.4079837115</v>
      </c>
      <c r="I116" s="100">
        <f>(SUM($D$15:D115)+D116)/12/$F$5</f>
        <v>774680.56721592345</v>
      </c>
      <c r="J116" s="100">
        <f>SUM($H$16:I116)</f>
        <v>288878675.31320637</v>
      </c>
      <c r="K116" s="100">
        <f>SUM($C$16:D116)-J116+F116</f>
        <v>158584814.32529429</v>
      </c>
      <c r="L116" s="100">
        <f t="shared" si="16"/>
        <v>100372.61454473298</v>
      </c>
      <c r="M116" s="100">
        <f t="shared" si="15"/>
        <v>3828398.5897443681</v>
      </c>
      <c r="N116" s="100">
        <f t="shared" si="22"/>
        <v>-1047948.1016286175</v>
      </c>
      <c r="O116" s="100">
        <f t="shared" si="17"/>
        <v>45396018.0563384</v>
      </c>
      <c r="P116" s="100">
        <f t="shared" si="18"/>
        <v>44348069.954709783</v>
      </c>
      <c r="Q116" s="103">
        <f t="shared" si="19"/>
        <v>114236744.3705845</v>
      </c>
      <c r="R116" s="103">
        <f t="shared" si="23"/>
        <v>869151.23008619703</v>
      </c>
      <c r="S116" s="103">
        <f>+'CAP-2 Program Expenses'!F131</f>
        <v>0</v>
      </c>
      <c r="T116" s="103">
        <f t="shared" si="20"/>
        <v>4597177.2052858323</v>
      </c>
      <c r="U116" s="1"/>
      <c r="V116" s="1"/>
      <c r="W116" s="103">
        <f>+Q116*'CAP-1 WACC'!$F$10/12</f>
        <v>209434.0313460716</v>
      </c>
      <c r="Z116" s="44">
        <v>6221512.1614215104</v>
      </c>
      <c r="AA116" s="47">
        <f t="shared" si="21"/>
        <v>-2493486.1862218753</v>
      </c>
    </row>
    <row r="117" spans="2:27" s="44" customFormat="1" ht="15.75" x14ac:dyDescent="0.25">
      <c r="B117" s="104">
        <f>+'CAP-2 Program Expenses'!A132</f>
        <v>48549</v>
      </c>
      <c r="C117" s="105">
        <f>+'CAP-2 Program Expenses'!B132</f>
        <v>0</v>
      </c>
      <c r="D117" s="105">
        <f>+'CAP-2 Program Expenses'!C132</f>
        <v>0</v>
      </c>
      <c r="E117" s="105">
        <f t="shared" si="14"/>
        <v>0</v>
      </c>
      <c r="F117" s="105">
        <f>'Financing Unamortized Balance'!CY54</f>
        <v>-2.8764648440926521E-8</v>
      </c>
      <c r="G117" s="105">
        <f>+SUM($E$15:E117)+F117</f>
        <v>447363117.02395612</v>
      </c>
      <c r="H117" s="105">
        <f>((SUM($C$15:C116)+C117))/12/$F$5</f>
        <v>2953345.4079837115</v>
      </c>
      <c r="I117" s="105">
        <f>(SUM($D$15:D116)+D117)/12/$F$5</f>
        <v>774680.56721592345</v>
      </c>
      <c r="J117" s="105">
        <f>SUM($H$16:I117)</f>
        <v>292606701.28840601</v>
      </c>
      <c r="K117" s="105">
        <f>SUM($C$16:D117)-J117+F117</f>
        <v>154756415.7355499</v>
      </c>
      <c r="L117" s="105">
        <f t="shared" si="16"/>
        <v>-2.8764648440926521E-8</v>
      </c>
      <c r="M117" s="105">
        <f t="shared" si="15"/>
        <v>3728025.9751996063</v>
      </c>
      <c r="N117" s="105">
        <f t="shared" si="22"/>
        <v>-1047948.1016286175</v>
      </c>
      <c r="O117" s="105">
        <f t="shared" si="17"/>
        <v>44348069.954709783</v>
      </c>
      <c r="P117" s="105">
        <f t="shared" si="18"/>
        <v>43300121.853081167</v>
      </c>
      <c r="Q117" s="108">
        <f t="shared" si="19"/>
        <v>111456293.88246873</v>
      </c>
      <c r="R117" s="108">
        <f t="shared" si="23"/>
        <v>847996.63595578284</v>
      </c>
      <c r="S117" s="108">
        <f>+'CAP-2 Program Expenses'!F132</f>
        <v>0</v>
      </c>
      <c r="T117" s="108">
        <f t="shared" si="20"/>
        <v>4576022.6111554177</v>
      </c>
      <c r="U117" s="1"/>
      <c r="V117" s="1"/>
      <c r="W117" s="108">
        <f>+Q117*'CAP-1 WACC'!$F$10/12</f>
        <v>204336.53878452597</v>
      </c>
      <c r="Z117" s="44">
        <v>6221512.1614215104</v>
      </c>
      <c r="AA117" s="47">
        <f t="shared" si="21"/>
        <v>-2493486.1862218753</v>
      </c>
    </row>
    <row r="118" spans="2:27" s="44" customFormat="1" ht="15.75" x14ac:dyDescent="0.25">
      <c r="B118" s="5">
        <f>+'CAP-2 Program Expenses'!A133</f>
        <v>48580</v>
      </c>
      <c r="C118" s="100">
        <f>+'CAP-2 Program Expenses'!B133</f>
        <v>0</v>
      </c>
      <c r="D118" s="100">
        <f>+'CAP-2 Program Expenses'!C133</f>
        <v>0</v>
      </c>
      <c r="E118" s="100">
        <f t="shared" si="14"/>
        <v>0</v>
      </c>
      <c r="F118" s="100">
        <f>'Financing Unamortized Balance'!CZ54</f>
        <v>-2.8764648440926521E-8</v>
      </c>
      <c r="G118" s="100">
        <f>+SUM($E$15:E118)+F118</f>
        <v>447363117.02395612</v>
      </c>
      <c r="H118" s="100">
        <f>((SUM($C$15:C117)+C118))/12/$F$5</f>
        <v>2953345.4079837115</v>
      </c>
      <c r="I118" s="100">
        <f>(SUM($D$15:D117)+D118)/12/$F$5</f>
        <v>774680.56721592345</v>
      </c>
      <c r="J118" s="100">
        <f>SUM($H$16:I118)</f>
        <v>296334727.26360565</v>
      </c>
      <c r="K118" s="100">
        <f>SUM($C$16:D118)-J118+F118</f>
        <v>151028389.76035026</v>
      </c>
      <c r="L118" s="100">
        <f t="shared" si="16"/>
        <v>-2.8764648440926521E-8</v>
      </c>
      <c r="M118" s="100">
        <f t="shared" si="15"/>
        <v>3728025.9751996063</v>
      </c>
      <c r="N118" s="100">
        <f t="shared" si="22"/>
        <v>-1047948.1016286175</v>
      </c>
      <c r="O118" s="100">
        <f t="shared" si="17"/>
        <v>43300121.853081167</v>
      </c>
      <c r="P118" s="100">
        <f t="shared" si="18"/>
        <v>42252173.75145255</v>
      </c>
      <c r="Q118" s="103">
        <f t="shared" si="19"/>
        <v>108776216.00889771</v>
      </c>
      <c r="R118" s="103">
        <f t="shared" si="23"/>
        <v>827605.71013436327</v>
      </c>
      <c r="S118" s="103">
        <f>+'CAP-2 Program Expenses'!F133</f>
        <v>0</v>
      </c>
      <c r="T118" s="103">
        <f t="shared" si="20"/>
        <v>4555631.6853339989</v>
      </c>
      <c r="U118" s="1"/>
      <c r="V118" s="1"/>
      <c r="W118" s="103">
        <f>+Q118*'CAP-1 WACC'!$F$10/12</f>
        <v>199423.06268297913</v>
      </c>
      <c r="Z118" s="44">
        <v>6221512.1614215104</v>
      </c>
      <c r="AA118" s="47">
        <f t="shared" si="21"/>
        <v>-2493486.1862218753</v>
      </c>
    </row>
    <row r="119" spans="2:27" s="44" customFormat="1" ht="15.75" x14ac:dyDescent="0.25">
      <c r="B119" s="5">
        <f>+'CAP-2 Program Expenses'!A134</f>
        <v>48611</v>
      </c>
      <c r="C119" s="100">
        <f>+'CAP-2 Program Expenses'!B134</f>
        <v>0</v>
      </c>
      <c r="D119" s="100">
        <f>+'CAP-2 Program Expenses'!C134</f>
        <v>0</v>
      </c>
      <c r="E119" s="100">
        <f t="shared" si="14"/>
        <v>0</v>
      </c>
      <c r="F119" s="100">
        <f>'Financing Unamortized Balance'!DA54</f>
        <v>0</v>
      </c>
      <c r="G119" s="100">
        <f>+SUM($E$15:E119)+F119</f>
        <v>447363117.02395612</v>
      </c>
      <c r="H119" s="100">
        <f>((SUM($C$15:C118)+C119))/12/$F$5</f>
        <v>2953345.4079837115</v>
      </c>
      <c r="I119" s="100">
        <f>(SUM($D$15:D118)+D119)/12/$F$5</f>
        <v>774680.56721592345</v>
      </c>
      <c r="J119" s="100">
        <f>SUM($H$16:I119)</f>
        <v>300062753.23880529</v>
      </c>
      <c r="K119" s="100">
        <f>SUM($C$16:D119)-J119+F119</f>
        <v>147300363.78515065</v>
      </c>
      <c r="L119" s="100">
        <f t="shared" si="16"/>
        <v>0</v>
      </c>
      <c r="M119" s="100">
        <f t="shared" si="15"/>
        <v>3728025.9751996351</v>
      </c>
      <c r="N119" s="100">
        <f t="shared" si="22"/>
        <v>-1047948.1016286175</v>
      </c>
      <c r="O119" s="100">
        <f t="shared" si="17"/>
        <v>42252173.75145255</v>
      </c>
      <c r="P119" s="100">
        <f t="shared" si="18"/>
        <v>41204225.649823934</v>
      </c>
      <c r="Q119" s="103">
        <f t="shared" si="19"/>
        <v>106096138.13532671</v>
      </c>
      <c r="R119" s="103">
        <f t="shared" si="23"/>
        <v>807214.78431294393</v>
      </c>
      <c r="S119" s="103">
        <f>+'CAP-2 Program Expenses'!F134</f>
        <v>0</v>
      </c>
      <c r="T119" s="103">
        <f t="shared" si="20"/>
        <v>4535240.7595125791</v>
      </c>
      <c r="U119" s="1"/>
      <c r="V119" s="1"/>
      <c r="W119" s="103">
        <f>+Q119*'CAP-1 WACC'!$F$10/12</f>
        <v>194509.58658143229</v>
      </c>
      <c r="Z119" s="44">
        <v>6221512.1614215104</v>
      </c>
      <c r="AA119" s="47">
        <f t="shared" si="21"/>
        <v>-2493486.1862218753</v>
      </c>
    </row>
    <row r="120" spans="2:27" s="44" customFormat="1" ht="15.75" x14ac:dyDescent="0.25">
      <c r="B120" s="104">
        <f>+'CAP-2 Program Expenses'!A135</f>
        <v>48639</v>
      </c>
      <c r="C120" s="105">
        <f>+'CAP-2 Program Expenses'!B135</f>
        <v>0</v>
      </c>
      <c r="D120" s="105">
        <f>+'CAP-2 Program Expenses'!C135</f>
        <v>0</v>
      </c>
      <c r="E120" s="105">
        <f t="shared" si="14"/>
        <v>0</v>
      </c>
      <c r="F120" s="105">
        <f>'Financing Unamortized Balance'!DB54</f>
        <v>0</v>
      </c>
      <c r="G120" s="105">
        <f>+SUM($E$15:E120)+F120</f>
        <v>447363117.02395612</v>
      </c>
      <c r="H120" s="105">
        <f>((SUM($C$15:C119)+C120))/12/$F$5</f>
        <v>2953345.4079837115</v>
      </c>
      <c r="I120" s="105">
        <f>(SUM($D$15:D119)+D120)/12/$F$5</f>
        <v>774680.56721592345</v>
      </c>
      <c r="J120" s="105">
        <f>SUM($H$16:I120)</f>
        <v>303790779.21400493</v>
      </c>
      <c r="K120" s="105">
        <f>SUM($C$16:D120)-J120+F120</f>
        <v>143572337.80995101</v>
      </c>
      <c r="L120" s="105">
        <f t="shared" si="16"/>
        <v>0</v>
      </c>
      <c r="M120" s="105">
        <f t="shared" si="15"/>
        <v>3728025.9751996351</v>
      </c>
      <c r="N120" s="105">
        <f t="shared" si="22"/>
        <v>-1047948.1016286175</v>
      </c>
      <c r="O120" s="105">
        <f t="shared" si="17"/>
        <v>41204225.649823934</v>
      </c>
      <c r="P120" s="105">
        <f t="shared" si="18"/>
        <v>40156277.548195317</v>
      </c>
      <c r="Q120" s="108">
        <f t="shared" si="19"/>
        <v>103416060.26175569</v>
      </c>
      <c r="R120" s="108">
        <f t="shared" si="23"/>
        <v>786823.85849152447</v>
      </c>
      <c r="S120" s="108">
        <f>+'CAP-2 Program Expenses'!F135</f>
        <v>0</v>
      </c>
      <c r="T120" s="108">
        <f t="shared" si="20"/>
        <v>4514849.8336911593</v>
      </c>
      <c r="U120" s="1"/>
      <c r="V120" s="1"/>
      <c r="W120" s="108">
        <f>+Q120*'CAP-1 WACC'!$F$10/12</f>
        <v>189596.11047988539</v>
      </c>
      <c r="Z120" s="44">
        <v>6221512.1614215104</v>
      </c>
      <c r="AA120" s="47">
        <f t="shared" si="21"/>
        <v>-2493486.1862218753</v>
      </c>
    </row>
    <row r="121" spans="2:27" s="44" customFormat="1" ht="15.75" x14ac:dyDescent="0.25">
      <c r="B121" s="5">
        <f>+'CAP-2 Program Expenses'!A136</f>
        <v>48670</v>
      </c>
      <c r="C121" s="100">
        <f>+'CAP-2 Program Expenses'!B136</f>
        <v>0</v>
      </c>
      <c r="D121" s="100">
        <f>+'CAP-2 Program Expenses'!C136</f>
        <v>0</v>
      </c>
      <c r="E121" s="100">
        <f t="shared" si="14"/>
        <v>0</v>
      </c>
      <c r="F121" s="100">
        <f>'Financing Unamortized Balance'!DC54</f>
        <v>0</v>
      </c>
      <c r="G121" s="100">
        <f>+SUM($E$15:E121)+F121</f>
        <v>447363117.02395612</v>
      </c>
      <c r="H121" s="100">
        <f>((SUM($C$16:C120)+C121))/12/$F$5</f>
        <v>2953345.4079837115</v>
      </c>
      <c r="I121" s="100">
        <f>(SUM($D$15:D120)+D121)/12/$F$5</f>
        <v>774680.56721592345</v>
      </c>
      <c r="J121" s="100">
        <f>SUM($H$16:I121)</f>
        <v>307518805.18920457</v>
      </c>
      <c r="K121" s="100">
        <f>SUM($C$16:D121)-J121+F121</f>
        <v>139844311.83475137</v>
      </c>
      <c r="L121" s="100">
        <f t="shared" si="16"/>
        <v>0</v>
      </c>
      <c r="M121" s="100">
        <f t="shared" si="15"/>
        <v>3728025.9751996351</v>
      </c>
      <c r="N121" s="100">
        <f t="shared" si="22"/>
        <v>-1047948.1016286175</v>
      </c>
      <c r="O121" s="100">
        <f t="shared" si="17"/>
        <v>40156277.548195317</v>
      </c>
      <c r="P121" s="100">
        <f t="shared" si="18"/>
        <v>39108329.446566701</v>
      </c>
      <c r="Q121" s="103">
        <f t="shared" si="19"/>
        <v>100735982.38818467</v>
      </c>
      <c r="R121" s="103">
        <f t="shared" si="23"/>
        <v>766432.9326701049</v>
      </c>
      <c r="S121" s="103">
        <f>+'CAP-2 Program Expenses'!F136</f>
        <v>0</v>
      </c>
      <c r="T121" s="103">
        <f t="shared" si="20"/>
        <v>4494458.9078697404</v>
      </c>
      <c r="U121" s="1"/>
      <c r="V121" s="1"/>
      <c r="W121" s="103">
        <f>+Q121*'CAP-1 WACC'!$F$10/12</f>
        <v>184682.63437833855</v>
      </c>
      <c r="Z121" s="44">
        <v>6221512.1614215104</v>
      </c>
      <c r="AA121" s="47">
        <f t="shared" si="21"/>
        <v>-2493486.1862218753</v>
      </c>
    </row>
    <row r="122" spans="2:27" s="44" customFormat="1" ht="15.75" x14ac:dyDescent="0.25">
      <c r="B122" s="5">
        <f>+'CAP-2 Program Expenses'!A137</f>
        <v>48700</v>
      </c>
      <c r="C122" s="100">
        <f>+'CAP-2 Program Expenses'!B137</f>
        <v>0</v>
      </c>
      <c r="D122" s="100">
        <f>+'CAP-2 Program Expenses'!C137</f>
        <v>0</v>
      </c>
      <c r="E122" s="100">
        <f t="shared" si="14"/>
        <v>0</v>
      </c>
      <c r="F122" s="100">
        <f>'Financing Unamortized Balance'!DD54</f>
        <v>0</v>
      </c>
      <c r="G122" s="100">
        <f>+SUM($E$15:E122)+F122</f>
        <v>447363117.02395612</v>
      </c>
      <c r="H122" s="100">
        <f>((SUM($C$15:C121)+C122))/12/$F$5</f>
        <v>2953345.4079837115</v>
      </c>
      <c r="I122" s="100">
        <f>(SUM($D$15:D121)+D122)/12/$F$5</f>
        <v>774680.56721592345</v>
      </c>
      <c r="J122" s="100">
        <f>SUM($H$16:I122)</f>
        <v>311246831.16440421</v>
      </c>
      <c r="K122" s="100">
        <f>SUM($C$16:D122)-J122+F122</f>
        <v>136116285.85955173</v>
      </c>
      <c r="L122" s="100">
        <f t="shared" si="16"/>
        <v>0</v>
      </c>
      <c r="M122" s="100">
        <f t="shared" si="15"/>
        <v>3728025.9751996351</v>
      </c>
      <c r="N122" s="100">
        <f t="shared" si="22"/>
        <v>-1047948.1016286175</v>
      </c>
      <c r="O122" s="100">
        <f t="shared" si="17"/>
        <v>39108329.446566701</v>
      </c>
      <c r="P122" s="100">
        <f t="shared" si="18"/>
        <v>38060381.344938084</v>
      </c>
      <c r="Q122" s="103">
        <f t="shared" si="19"/>
        <v>98055904.514613643</v>
      </c>
      <c r="R122" s="103">
        <f t="shared" si="23"/>
        <v>746042.00684868533</v>
      </c>
      <c r="S122" s="103">
        <f>+'CAP-2 Program Expenses'!F137</f>
        <v>0</v>
      </c>
      <c r="T122" s="103">
        <f t="shared" si="20"/>
        <v>4474067.9820483206</v>
      </c>
      <c r="U122" s="1"/>
      <c r="V122" s="1"/>
      <c r="W122" s="103">
        <f>+Q122*'CAP-1 WACC'!$F$10/12</f>
        <v>179769.15827679168</v>
      </c>
      <c r="Z122" s="44">
        <v>6221512.1614215104</v>
      </c>
      <c r="AA122" s="47">
        <f t="shared" si="21"/>
        <v>-2493486.1862218753</v>
      </c>
    </row>
    <row r="123" spans="2:27" s="44" customFormat="1" ht="15.75" x14ac:dyDescent="0.25">
      <c r="B123" s="104">
        <f>+'CAP-2 Program Expenses'!A138</f>
        <v>48731</v>
      </c>
      <c r="C123" s="105">
        <f>+'CAP-2 Program Expenses'!B138</f>
        <v>0</v>
      </c>
      <c r="D123" s="105">
        <f>+'CAP-2 Program Expenses'!C138</f>
        <v>0</v>
      </c>
      <c r="E123" s="105">
        <f t="shared" si="14"/>
        <v>0</v>
      </c>
      <c r="F123" s="105">
        <f>'Financing Unamortized Balance'!DE54</f>
        <v>0</v>
      </c>
      <c r="G123" s="105">
        <f>+SUM($E$15:E123)+F123</f>
        <v>447363117.02395612</v>
      </c>
      <c r="H123" s="105">
        <f>((SUM($C$15:C122)+C123))/12/$F$5</f>
        <v>2953345.4079837115</v>
      </c>
      <c r="I123" s="105">
        <f>(SUM($D$15:D122)+D123)/12/$F$5</f>
        <v>774680.56721592345</v>
      </c>
      <c r="J123" s="105">
        <f>SUM($H$16:I123)</f>
        <v>314974857.13960385</v>
      </c>
      <c r="K123" s="105">
        <f>SUM($C$16:D123)-J123+F123</f>
        <v>132388259.88435209</v>
      </c>
      <c r="L123" s="105">
        <f t="shared" si="16"/>
        <v>0</v>
      </c>
      <c r="M123" s="105">
        <f t="shared" si="15"/>
        <v>3728025.9751996351</v>
      </c>
      <c r="N123" s="105">
        <f t="shared" si="22"/>
        <v>-1047948.1016286175</v>
      </c>
      <c r="O123" s="105">
        <f t="shared" si="17"/>
        <v>38060381.344938084</v>
      </c>
      <c r="P123" s="105">
        <f t="shared" si="18"/>
        <v>37012433.243309468</v>
      </c>
      <c r="Q123" s="108">
        <f t="shared" si="19"/>
        <v>95375826.64104262</v>
      </c>
      <c r="R123" s="108">
        <f t="shared" si="23"/>
        <v>725651.08102726587</v>
      </c>
      <c r="S123" s="108">
        <f>+'CAP-2 Program Expenses'!F138</f>
        <v>0</v>
      </c>
      <c r="T123" s="108">
        <f t="shared" si="20"/>
        <v>4453677.0562269008</v>
      </c>
      <c r="U123" s="1"/>
      <c r="V123" s="1"/>
      <c r="W123" s="108">
        <f>+Q123*'CAP-1 WACC'!$F$10/12</f>
        <v>174855.68217524479</v>
      </c>
      <c r="Z123" s="44">
        <v>6221512.1614215104</v>
      </c>
      <c r="AA123" s="47">
        <f t="shared" si="21"/>
        <v>-2493486.1862218753</v>
      </c>
    </row>
    <row r="124" spans="2:27" s="44" customFormat="1" ht="15.75" x14ac:dyDescent="0.25">
      <c r="B124" s="5">
        <f>+'CAP-2 Program Expenses'!A139</f>
        <v>48761</v>
      </c>
      <c r="C124" s="100">
        <f>+'CAP-2 Program Expenses'!B139</f>
        <v>0</v>
      </c>
      <c r="D124" s="100">
        <f>+'CAP-2 Program Expenses'!C139</f>
        <v>0</v>
      </c>
      <c r="E124" s="100">
        <f t="shared" si="14"/>
        <v>0</v>
      </c>
      <c r="F124" s="100">
        <f>'Financing Unamortized Balance'!DF54</f>
        <v>0</v>
      </c>
      <c r="G124" s="100">
        <f>+SUM($E$15:E124)+F124</f>
        <v>447363117.02395612</v>
      </c>
      <c r="H124" s="100">
        <f>((SUM($C$15:C123)+C124))/12/$F$5</f>
        <v>2953345.4079837115</v>
      </c>
      <c r="I124" s="100">
        <f>(SUM($D$15:D123)+D124)/12/$F$5</f>
        <v>774680.56721592345</v>
      </c>
      <c r="J124" s="100">
        <f>SUM($H$16:I124)</f>
        <v>318702883.11480349</v>
      </c>
      <c r="K124" s="100">
        <f>SUM($C$16:D124)-J124+F124</f>
        <v>128660233.90915245</v>
      </c>
      <c r="L124" s="100">
        <f t="shared" si="16"/>
        <v>0</v>
      </c>
      <c r="M124" s="100">
        <f t="shared" si="15"/>
        <v>3728025.9751996351</v>
      </c>
      <c r="N124" s="100">
        <f t="shared" si="22"/>
        <v>-1047948.1016286175</v>
      </c>
      <c r="O124" s="100">
        <f t="shared" si="17"/>
        <v>37012433.243309468</v>
      </c>
      <c r="P124" s="100">
        <f t="shared" si="18"/>
        <v>35964485.141680852</v>
      </c>
      <c r="Q124" s="103">
        <f t="shared" si="19"/>
        <v>92695748.767471597</v>
      </c>
      <c r="R124" s="103">
        <f t="shared" si="23"/>
        <v>705260.1552058463</v>
      </c>
      <c r="S124" s="103">
        <f>+'CAP-2 Program Expenses'!F139</f>
        <v>0</v>
      </c>
      <c r="T124" s="103">
        <f t="shared" si="20"/>
        <v>4433286.1304054819</v>
      </c>
      <c r="U124" s="1"/>
      <c r="V124" s="1"/>
      <c r="W124" s="103">
        <f>+Q124*'CAP-1 WACC'!$F$10/12</f>
        <v>169942.20607369792</v>
      </c>
      <c r="Z124" s="44">
        <v>6221512.1614215104</v>
      </c>
      <c r="AA124" s="47">
        <f t="shared" si="21"/>
        <v>-2493486.1862218753</v>
      </c>
    </row>
    <row r="125" spans="2:27" s="44" customFormat="1" ht="15.75" x14ac:dyDescent="0.25">
      <c r="B125" s="5">
        <f>+'CAP-2 Program Expenses'!A140</f>
        <v>48792</v>
      </c>
      <c r="C125" s="100">
        <f>+'CAP-2 Program Expenses'!B140</f>
        <v>0</v>
      </c>
      <c r="D125" s="100">
        <f>+'CAP-2 Program Expenses'!C140</f>
        <v>0</v>
      </c>
      <c r="E125" s="100">
        <f t="shared" si="14"/>
        <v>0</v>
      </c>
      <c r="F125" s="100">
        <f>'Financing Unamortized Balance'!DG54</f>
        <v>0</v>
      </c>
      <c r="G125" s="100">
        <f>+SUM($E$15:E125)+F125</f>
        <v>447363117.02395612</v>
      </c>
      <c r="H125" s="100">
        <f>((SUM($C$15:C124)+C125))/12/$F$5</f>
        <v>2953345.4079837115</v>
      </c>
      <c r="I125" s="100">
        <f>(SUM($D$15:D124)+D125)/12/$F$5</f>
        <v>774680.56721592345</v>
      </c>
      <c r="J125" s="100">
        <f>SUM($H$16:I125)</f>
        <v>322430909.09000313</v>
      </c>
      <c r="K125" s="100">
        <f>SUM($C$16:D125)-J125+F125</f>
        <v>124932207.93395281</v>
      </c>
      <c r="L125" s="100">
        <f t="shared" si="16"/>
        <v>0</v>
      </c>
      <c r="M125" s="100">
        <f t="shared" si="15"/>
        <v>3728025.9751996351</v>
      </c>
      <c r="N125" s="100">
        <f t="shared" si="22"/>
        <v>-1047948.1016286175</v>
      </c>
      <c r="O125" s="100">
        <f t="shared" si="17"/>
        <v>35964485.141680852</v>
      </c>
      <c r="P125" s="100">
        <f t="shared" si="18"/>
        <v>34916537.040052235</v>
      </c>
      <c r="Q125" s="103">
        <f t="shared" si="19"/>
        <v>90015670.893900573</v>
      </c>
      <c r="R125" s="103">
        <f t="shared" si="23"/>
        <v>684869.22938442673</v>
      </c>
      <c r="S125" s="103">
        <f>+'CAP-2 Program Expenses'!F140</f>
        <v>0</v>
      </c>
      <c r="T125" s="103">
        <f t="shared" si="20"/>
        <v>4412895.2045840621</v>
      </c>
      <c r="U125" s="1"/>
      <c r="V125" s="1"/>
      <c r="W125" s="103">
        <f>+Q125*'CAP-1 WACC'!$F$10/12</f>
        <v>165028.72997215105</v>
      </c>
      <c r="Z125" s="44">
        <v>6221512.1614215104</v>
      </c>
      <c r="AA125" s="47">
        <f t="shared" si="21"/>
        <v>-2493486.1862218753</v>
      </c>
    </row>
    <row r="126" spans="2:27" s="44" customFormat="1" ht="15.75" x14ac:dyDescent="0.25">
      <c r="B126" s="104">
        <f>+'CAP-2 Program Expenses'!A141</f>
        <v>48823</v>
      </c>
      <c r="C126" s="105">
        <f>+'CAP-2 Program Expenses'!B141</f>
        <v>0</v>
      </c>
      <c r="D126" s="105">
        <f>+'CAP-2 Program Expenses'!C141</f>
        <v>0</v>
      </c>
      <c r="E126" s="105">
        <f t="shared" si="14"/>
        <v>0</v>
      </c>
      <c r="F126" s="105">
        <f>'Financing Unamortized Balance'!DH54</f>
        <v>0</v>
      </c>
      <c r="G126" s="105">
        <f>+SUM($E$15:E126)+F126</f>
        <v>447363117.02395612</v>
      </c>
      <c r="H126" s="105">
        <f>((SUM($C$15:C125)+C126))/12/$F$5</f>
        <v>2953345.4079837115</v>
      </c>
      <c r="I126" s="105">
        <f>(SUM($D$15:D125)+D126)/12/$F$5</f>
        <v>774680.56721592345</v>
      </c>
      <c r="J126" s="105">
        <f>SUM($H$16:I126)</f>
        <v>326158935.06520277</v>
      </c>
      <c r="K126" s="105">
        <f>SUM($C$16:D126)-J126+F126</f>
        <v>121204181.95875317</v>
      </c>
      <c r="L126" s="105">
        <f t="shared" si="16"/>
        <v>0</v>
      </c>
      <c r="M126" s="105">
        <f t="shared" si="15"/>
        <v>3728025.9751996351</v>
      </c>
      <c r="N126" s="105">
        <f t="shared" si="22"/>
        <v>-1047948.1016286175</v>
      </c>
      <c r="O126" s="105">
        <f t="shared" si="17"/>
        <v>34916537.040052235</v>
      </c>
      <c r="P126" s="105">
        <f t="shared" si="18"/>
        <v>33868588.938423619</v>
      </c>
      <c r="Q126" s="108">
        <f t="shared" si="19"/>
        <v>87335593.02032955</v>
      </c>
      <c r="R126" s="108">
        <f t="shared" si="23"/>
        <v>664478.30356300727</v>
      </c>
      <c r="S126" s="108">
        <f>+'CAP-2 Program Expenses'!F141</f>
        <v>0</v>
      </c>
      <c r="T126" s="108">
        <f t="shared" si="20"/>
        <v>4392504.2787626423</v>
      </c>
      <c r="U126" s="1"/>
      <c r="V126" s="1"/>
      <c r="W126" s="108">
        <f>+Q126*'CAP-1 WACC'!$F$10/12</f>
        <v>160115.25387060418</v>
      </c>
      <c r="Z126" s="44">
        <v>6221512.1614215104</v>
      </c>
      <c r="AA126" s="47">
        <f t="shared" si="21"/>
        <v>-2493486.1862218753</v>
      </c>
    </row>
    <row r="127" spans="2:27" s="44" customFormat="1" ht="15.75" x14ac:dyDescent="0.25">
      <c r="B127" s="5">
        <f>+'CAP-2 Program Expenses'!A142</f>
        <v>48853</v>
      </c>
      <c r="C127" s="100">
        <f>+'CAP-2 Program Expenses'!B142</f>
        <v>0</v>
      </c>
      <c r="D127" s="100">
        <f>+'CAP-2 Program Expenses'!C142</f>
        <v>0</v>
      </c>
      <c r="E127" s="100">
        <f t="shared" si="14"/>
        <v>0</v>
      </c>
      <c r="F127" s="100">
        <f>'Financing Unamortized Balance'!DI54</f>
        <v>0</v>
      </c>
      <c r="G127" s="100">
        <f>+SUM($E$15:E127)+F127</f>
        <v>447363117.02395612</v>
      </c>
      <c r="H127" s="100">
        <f>((SUM($C$15:C126)+C127))/12/$F$5</f>
        <v>2953345.4079837115</v>
      </c>
      <c r="I127" s="100">
        <f>(SUM($D$15:D126)+D127)/12/$F$5</f>
        <v>774680.56721592345</v>
      </c>
      <c r="J127" s="100">
        <f>SUM($H$16:I127)</f>
        <v>329886961.04040241</v>
      </c>
      <c r="K127" s="100">
        <f>SUM($C$16:D127)-J127+F127</f>
        <v>117476155.98355353</v>
      </c>
      <c r="L127" s="100">
        <f t="shared" si="16"/>
        <v>0</v>
      </c>
      <c r="M127" s="100">
        <f t="shared" si="15"/>
        <v>3728025.9751996351</v>
      </c>
      <c r="N127" s="100">
        <f t="shared" si="22"/>
        <v>-1047948.1016286175</v>
      </c>
      <c r="O127" s="100">
        <f t="shared" si="17"/>
        <v>33868588.938423619</v>
      </c>
      <c r="P127" s="100">
        <f t="shared" si="18"/>
        <v>32820640.836795002</v>
      </c>
      <c r="Q127" s="103">
        <f t="shared" si="19"/>
        <v>84655515.146758527</v>
      </c>
      <c r="R127" s="103">
        <f t="shared" si="23"/>
        <v>644087.3777415877</v>
      </c>
      <c r="S127" s="103">
        <f>+'CAP-2 Program Expenses'!F142</f>
        <v>0</v>
      </c>
      <c r="T127" s="103">
        <f t="shared" si="20"/>
        <v>4372113.3529412225</v>
      </c>
      <c r="U127" s="1"/>
      <c r="V127" s="1"/>
      <c r="W127" s="103">
        <f>+Q127*'CAP-1 WACC'!$F$10/12</f>
        <v>155201.77776905728</v>
      </c>
      <c r="Z127" s="44">
        <v>6221512.1614215104</v>
      </c>
      <c r="AA127" s="47">
        <f t="shared" si="21"/>
        <v>-2493486.1862218753</v>
      </c>
    </row>
    <row r="128" spans="2:27" s="44" customFormat="1" ht="15.75" x14ac:dyDescent="0.25">
      <c r="B128" s="5">
        <f>+'CAP-2 Program Expenses'!A143</f>
        <v>48884</v>
      </c>
      <c r="C128" s="100">
        <f>+'CAP-2 Program Expenses'!B143</f>
        <v>0</v>
      </c>
      <c r="D128" s="100">
        <f>+'CAP-2 Program Expenses'!C143</f>
        <v>0</v>
      </c>
      <c r="E128" s="100">
        <f t="shared" si="14"/>
        <v>0</v>
      </c>
      <c r="F128" s="100">
        <f>'Financing Unamortized Balance'!DJ54</f>
        <v>0</v>
      </c>
      <c r="G128" s="100">
        <f>+SUM($E$15:E128)+F128</f>
        <v>447363117.02395612</v>
      </c>
      <c r="H128" s="100">
        <f>((SUM($C$15:C127)+C128))/12/$F$5</f>
        <v>2953345.4079837115</v>
      </c>
      <c r="I128" s="100">
        <f>(SUM($D$15:D127)+D128)/12/$F$5</f>
        <v>774680.56721592345</v>
      </c>
      <c r="J128" s="100">
        <f>SUM($H$16:I128)</f>
        <v>333614987.01560205</v>
      </c>
      <c r="K128" s="100">
        <f>SUM($C$16:D128)-J128+F128</f>
        <v>113748130.00835389</v>
      </c>
      <c r="L128" s="100">
        <f t="shared" si="16"/>
        <v>0</v>
      </c>
      <c r="M128" s="100">
        <f t="shared" si="15"/>
        <v>3728025.9751996351</v>
      </c>
      <c r="N128" s="100">
        <f t="shared" si="22"/>
        <v>-1047948.1016286175</v>
      </c>
      <c r="O128" s="100">
        <f t="shared" si="17"/>
        <v>32820640.836795002</v>
      </c>
      <c r="P128" s="100">
        <f t="shared" si="18"/>
        <v>31772692.735166386</v>
      </c>
      <c r="Q128" s="103">
        <f t="shared" si="19"/>
        <v>81975437.273187503</v>
      </c>
      <c r="R128" s="103">
        <f t="shared" si="23"/>
        <v>623696.45192016813</v>
      </c>
      <c r="S128" s="103">
        <f>+'CAP-2 Program Expenses'!F143</f>
        <v>0</v>
      </c>
      <c r="T128" s="103">
        <f t="shared" si="20"/>
        <v>4351722.4271198036</v>
      </c>
      <c r="U128" s="1"/>
      <c r="V128" s="1"/>
      <c r="W128" s="103">
        <f>+Q128*'CAP-1 WACC'!$F$10/12</f>
        <v>150288.30166751042</v>
      </c>
      <c r="Z128" s="44">
        <v>6221512.1614215104</v>
      </c>
      <c r="AA128" s="47">
        <f t="shared" si="21"/>
        <v>-2493486.1862218753</v>
      </c>
    </row>
    <row r="129" spans="2:27" s="44" customFormat="1" ht="15.75" x14ac:dyDescent="0.25">
      <c r="B129" s="104">
        <f>+'CAP-2 Program Expenses'!A144</f>
        <v>48914</v>
      </c>
      <c r="C129" s="105">
        <f>+'CAP-2 Program Expenses'!B144</f>
        <v>0</v>
      </c>
      <c r="D129" s="105">
        <f>+'CAP-2 Program Expenses'!C144</f>
        <v>0</v>
      </c>
      <c r="E129" s="105">
        <f t="shared" si="14"/>
        <v>0</v>
      </c>
      <c r="F129" s="105">
        <f>'Financing Unamortized Balance'!DK54</f>
        <v>0</v>
      </c>
      <c r="G129" s="105">
        <f>+SUM($E$15:E129)+F129</f>
        <v>447363117.02395612</v>
      </c>
      <c r="H129" s="105">
        <f>((SUM($C$15:C128)+C129))/12/$F$5</f>
        <v>2953345.4079837115</v>
      </c>
      <c r="I129" s="105">
        <f>(SUM($D$15:D128)+D129)/12/$F$5</f>
        <v>774680.56721592345</v>
      </c>
      <c r="J129" s="105">
        <f>SUM($H$16:I129)</f>
        <v>337343012.99080169</v>
      </c>
      <c r="K129" s="105">
        <f>SUM($C$16:D129)-J129+F129</f>
        <v>110020104.03315425</v>
      </c>
      <c r="L129" s="105">
        <f t="shared" si="16"/>
        <v>0</v>
      </c>
      <c r="M129" s="105">
        <f t="shared" si="15"/>
        <v>3728025.9751996351</v>
      </c>
      <c r="N129" s="105">
        <f t="shared" si="22"/>
        <v>-1047948.1016286175</v>
      </c>
      <c r="O129" s="105">
        <f t="shared" si="17"/>
        <v>31772692.735166386</v>
      </c>
      <c r="P129" s="105">
        <f t="shared" si="18"/>
        <v>30724744.633537769</v>
      </c>
      <c r="Q129" s="108">
        <f t="shared" si="19"/>
        <v>79295359.39961648</v>
      </c>
      <c r="R129" s="108">
        <f t="shared" si="23"/>
        <v>603305.52609874867</v>
      </c>
      <c r="S129" s="108">
        <f>+'CAP-2 Program Expenses'!F144</f>
        <v>0</v>
      </c>
      <c r="T129" s="108">
        <f t="shared" si="20"/>
        <v>4331331.5012983838</v>
      </c>
      <c r="U129" s="1"/>
      <c r="V129" s="1"/>
      <c r="W129" s="108">
        <f>+Q129*'CAP-1 WACC'!$F$10/12</f>
        <v>145374.82556596355</v>
      </c>
      <c r="Z129" s="44">
        <v>6221512.1614215104</v>
      </c>
      <c r="AA129" s="47">
        <f t="shared" si="21"/>
        <v>-2493486.1862218753</v>
      </c>
    </row>
    <row r="130" spans="2:27" s="44" customFormat="1" ht="15.75" x14ac:dyDescent="0.25">
      <c r="B130" s="5">
        <f>+'CAP-2 Program Expenses'!A145</f>
        <v>48945</v>
      </c>
      <c r="C130" s="100">
        <f>+'CAP-2 Program Expenses'!B145</f>
        <v>0</v>
      </c>
      <c r="D130" s="100">
        <f>+'CAP-2 Program Expenses'!C145</f>
        <v>0</v>
      </c>
      <c r="E130" s="100">
        <f t="shared" si="14"/>
        <v>0</v>
      </c>
      <c r="F130" s="100">
        <f>'Financing Unamortized Balance'!DL54</f>
        <v>0</v>
      </c>
      <c r="G130" s="100">
        <f>+SUM($E$15:E130)+F130</f>
        <v>447363117.02395612</v>
      </c>
      <c r="H130" s="100">
        <f>((SUM($C$15:C129)+C130))/12/$F$5</f>
        <v>2953345.4079837115</v>
      </c>
      <c r="I130" s="100">
        <f>(SUM($D$15:D129)+D130)/12/$F$5</f>
        <v>774680.56721592345</v>
      </c>
      <c r="J130" s="100">
        <f>SUM($H$16:I130)</f>
        <v>341071038.96600133</v>
      </c>
      <c r="K130" s="100">
        <f>SUM($C$16:D130)-J130+F130</f>
        <v>106292078.05795461</v>
      </c>
      <c r="L130" s="100">
        <f t="shared" si="16"/>
        <v>0</v>
      </c>
      <c r="M130" s="100">
        <f t="shared" si="15"/>
        <v>3728025.9751996351</v>
      </c>
      <c r="N130" s="100">
        <f t="shared" si="22"/>
        <v>-1047948.1016286175</v>
      </c>
      <c r="O130" s="100">
        <f t="shared" si="17"/>
        <v>30724744.633537769</v>
      </c>
      <c r="P130" s="100">
        <f t="shared" si="18"/>
        <v>29676796.531909153</v>
      </c>
      <c r="Q130" s="103">
        <f t="shared" si="19"/>
        <v>76615281.526045457</v>
      </c>
      <c r="R130" s="103">
        <f t="shared" si="23"/>
        <v>582914.6002773291</v>
      </c>
      <c r="S130" s="103">
        <f>+'CAP-2 Program Expenses'!F145</f>
        <v>0</v>
      </c>
      <c r="T130" s="103">
        <f t="shared" si="20"/>
        <v>4310940.575476964</v>
      </c>
      <c r="U130" s="1"/>
      <c r="V130" s="1"/>
      <c r="W130" s="103">
        <f>+Q130*'CAP-1 WACC'!$F$10/12</f>
        <v>140461.34946441665</v>
      </c>
      <c r="Z130" s="44">
        <v>6221512.1614215104</v>
      </c>
      <c r="AA130" s="47">
        <f t="shared" si="21"/>
        <v>-2493486.1862218753</v>
      </c>
    </row>
    <row r="131" spans="2:27" s="44" customFormat="1" ht="15.75" x14ac:dyDescent="0.25">
      <c r="B131" s="5">
        <f>+'CAP-2 Program Expenses'!A146</f>
        <v>48976</v>
      </c>
      <c r="C131" s="100">
        <f>+'CAP-2 Program Expenses'!B146</f>
        <v>0</v>
      </c>
      <c r="D131" s="100">
        <f>+'CAP-2 Program Expenses'!C146</f>
        <v>0</v>
      </c>
      <c r="E131" s="100">
        <f t="shared" si="14"/>
        <v>0</v>
      </c>
      <c r="F131" s="100">
        <f>'Financing Unamortized Balance'!DM54</f>
        <v>0</v>
      </c>
      <c r="G131" s="100">
        <f>+SUM($E$15:E131)+F131</f>
        <v>447363117.02395612</v>
      </c>
      <c r="H131" s="100">
        <f>((SUM($C$15:C130)+C131))/12/$F$5</f>
        <v>2953345.4079837115</v>
      </c>
      <c r="I131" s="100">
        <f>(SUM($D$15:D130)+D131)/12/$F$5</f>
        <v>774680.56721592345</v>
      </c>
      <c r="J131" s="100">
        <f>SUM($H$16:I131)</f>
        <v>344799064.94120097</v>
      </c>
      <c r="K131" s="100">
        <f>SUM($C$16:D131)-J131+F131</f>
        <v>102564052.08275497</v>
      </c>
      <c r="L131" s="100">
        <f t="shared" si="16"/>
        <v>0</v>
      </c>
      <c r="M131" s="100">
        <f t="shared" si="15"/>
        <v>3728025.9751996351</v>
      </c>
      <c r="N131" s="100">
        <f t="shared" si="22"/>
        <v>-1047948.1016286175</v>
      </c>
      <c r="O131" s="100">
        <f t="shared" si="17"/>
        <v>29676796.531909153</v>
      </c>
      <c r="P131" s="100">
        <f t="shared" si="18"/>
        <v>28628848.430280536</v>
      </c>
      <c r="Q131" s="103">
        <f t="shared" si="19"/>
        <v>73935203.652474433</v>
      </c>
      <c r="R131" s="103">
        <f t="shared" si="23"/>
        <v>562523.67445590952</v>
      </c>
      <c r="S131" s="103">
        <f>+'CAP-2 Program Expenses'!F146</f>
        <v>0</v>
      </c>
      <c r="T131" s="103">
        <f t="shared" si="20"/>
        <v>4290549.6496555451</v>
      </c>
      <c r="U131" s="1"/>
      <c r="V131" s="1"/>
      <c r="W131" s="103">
        <f>+Q131*'CAP-1 WACC'!$F$10/12</f>
        <v>135547.87336286978</v>
      </c>
      <c r="Z131" s="44">
        <v>6221512.1614215104</v>
      </c>
      <c r="AA131" s="47">
        <f t="shared" si="21"/>
        <v>-2493486.1862218753</v>
      </c>
    </row>
    <row r="132" spans="2:27" s="44" customFormat="1" ht="15.75" x14ac:dyDescent="0.25">
      <c r="B132" s="104">
        <f>+'CAP-2 Program Expenses'!A147</f>
        <v>49004</v>
      </c>
      <c r="C132" s="105">
        <f>+'CAP-2 Program Expenses'!B147</f>
        <v>0</v>
      </c>
      <c r="D132" s="105">
        <f>+'CAP-2 Program Expenses'!C147</f>
        <v>0</v>
      </c>
      <c r="E132" s="105">
        <f t="shared" si="14"/>
        <v>0</v>
      </c>
      <c r="F132" s="105">
        <f>'Financing Unamortized Balance'!DN54</f>
        <v>0</v>
      </c>
      <c r="G132" s="105">
        <f>+SUM($E$15:E132)+F132</f>
        <v>447363117.02395612</v>
      </c>
      <c r="H132" s="105">
        <f>((SUM($C$15:C131)+C132))/12/$F$5</f>
        <v>2953345.4079837115</v>
      </c>
      <c r="I132" s="105">
        <f>(SUM($D$15:D131)+D132)/12/$F$5</f>
        <v>774680.56721592345</v>
      </c>
      <c r="J132" s="105">
        <f>SUM($H$16:I132)</f>
        <v>348527090.91640061</v>
      </c>
      <c r="K132" s="105">
        <f>SUM($C$16:D132)-J132+F132</f>
        <v>98836026.10755533</v>
      </c>
      <c r="L132" s="105">
        <f t="shared" si="16"/>
        <v>0</v>
      </c>
      <c r="M132" s="105">
        <f t="shared" si="15"/>
        <v>3728025.9751996351</v>
      </c>
      <c r="N132" s="105">
        <f t="shared" si="22"/>
        <v>-1047948.1016286175</v>
      </c>
      <c r="O132" s="105">
        <f t="shared" si="17"/>
        <v>28628848.430280536</v>
      </c>
      <c r="P132" s="105">
        <f t="shared" si="18"/>
        <v>27580900.32865192</v>
      </c>
      <c r="Q132" s="108">
        <f t="shared" si="19"/>
        <v>71255125.77890341</v>
      </c>
      <c r="R132" s="108">
        <f t="shared" si="23"/>
        <v>542132.74863449007</v>
      </c>
      <c r="S132" s="108">
        <f>+'CAP-2 Program Expenses'!F147</f>
        <v>0</v>
      </c>
      <c r="T132" s="108">
        <f t="shared" si="20"/>
        <v>4270158.7238341253</v>
      </c>
      <c r="U132" s="1"/>
      <c r="V132" s="1"/>
      <c r="W132" s="108">
        <f>+Q132*'CAP-1 WACC'!$F$10/12</f>
        <v>130634.3972613229</v>
      </c>
      <c r="Z132" s="44">
        <v>6221512.1614215104</v>
      </c>
      <c r="AA132" s="47">
        <f t="shared" si="21"/>
        <v>-2493486.1862218753</v>
      </c>
    </row>
    <row r="133" spans="2:27" s="44" customFormat="1" ht="15.75" x14ac:dyDescent="0.25">
      <c r="B133" s="5">
        <f>+'CAP-2 Program Expenses'!A148</f>
        <v>49035</v>
      </c>
      <c r="C133" s="100">
        <f>+'CAP-2 Program Expenses'!B148</f>
        <v>0</v>
      </c>
      <c r="D133" s="100">
        <f>+'CAP-2 Program Expenses'!C148</f>
        <v>0</v>
      </c>
      <c r="E133" s="100">
        <f t="shared" si="14"/>
        <v>0</v>
      </c>
      <c r="F133" s="100">
        <f>'Financing Unamortized Balance'!DO54</f>
        <v>0</v>
      </c>
      <c r="G133" s="100">
        <f>+SUM($E$15:E133)+F133</f>
        <v>447363117.02395612</v>
      </c>
      <c r="H133" s="100">
        <f>((SUM($C$15:C132)+C133))/12/$F$5</f>
        <v>2953345.4079837115</v>
      </c>
      <c r="I133" s="100">
        <f>(SUM($D$15:D132)+D133)/12/$F$5</f>
        <v>774680.56721592345</v>
      </c>
      <c r="J133" s="100">
        <f>SUM($H$16:I133)</f>
        <v>352255116.89160025</v>
      </c>
      <c r="K133" s="100">
        <f>SUM($C$16:D133)-J133+F133</f>
        <v>95108000.13235569</v>
      </c>
      <c r="L133" s="100">
        <f t="shared" si="16"/>
        <v>0</v>
      </c>
      <c r="M133" s="100">
        <f t="shared" si="15"/>
        <v>3728025.9751996351</v>
      </c>
      <c r="N133" s="100">
        <f t="shared" si="22"/>
        <v>-1047948.1016286175</v>
      </c>
      <c r="O133" s="100">
        <f t="shared" si="17"/>
        <v>27580900.32865192</v>
      </c>
      <c r="P133" s="100">
        <f t="shared" si="18"/>
        <v>26532952.227023304</v>
      </c>
      <c r="Q133" s="103">
        <f t="shared" si="19"/>
        <v>68575047.905332386</v>
      </c>
      <c r="R133" s="103">
        <f t="shared" si="23"/>
        <v>521741.8228130705</v>
      </c>
      <c r="S133" s="103">
        <f>+'CAP-2 Program Expenses'!F148</f>
        <v>0</v>
      </c>
      <c r="T133" s="103">
        <f t="shared" si="20"/>
        <v>4249767.7980127055</v>
      </c>
      <c r="U133" s="1"/>
      <c r="V133" s="1"/>
      <c r="W133" s="103">
        <f>+Q133*'CAP-1 WACC'!$F$10/12</f>
        <v>125720.92115977604</v>
      </c>
      <c r="Z133" s="44">
        <v>6221512.1614215104</v>
      </c>
      <c r="AA133" s="47">
        <f t="shared" si="21"/>
        <v>-2493486.1862218753</v>
      </c>
    </row>
    <row r="134" spans="2:27" s="44" customFormat="1" ht="15.75" x14ac:dyDescent="0.25">
      <c r="B134" s="5">
        <f>+'CAP-2 Program Expenses'!A149</f>
        <v>49065</v>
      </c>
      <c r="C134" s="100">
        <f>+'CAP-2 Program Expenses'!B149</f>
        <v>0</v>
      </c>
      <c r="D134" s="100">
        <f>+'CAP-2 Program Expenses'!C149</f>
        <v>0</v>
      </c>
      <c r="E134" s="100">
        <f t="shared" si="14"/>
        <v>0</v>
      </c>
      <c r="F134" s="100">
        <f>'Financing Unamortized Balance'!DP54</f>
        <v>0</v>
      </c>
      <c r="G134" s="100">
        <f>+SUM($E$15:E134)+F134</f>
        <v>447363117.02395612</v>
      </c>
      <c r="H134" s="100">
        <f>((SUM($C$15:C133)+C134))/12/$F$5</f>
        <v>2953345.4079837115</v>
      </c>
      <c r="I134" s="100">
        <f>(SUM($D$15:D133)+D134)/12/$F$5</f>
        <v>774680.56721592345</v>
      </c>
      <c r="J134" s="100">
        <f>SUM($H$16:I134)</f>
        <v>355983142.86679989</v>
      </c>
      <c r="K134" s="100">
        <f>SUM($C$16:D134)-J134+F134</f>
        <v>91379974.15715605</v>
      </c>
      <c r="L134" s="100">
        <f t="shared" si="16"/>
        <v>0</v>
      </c>
      <c r="M134" s="100">
        <f t="shared" si="15"/>
        <v>3728025.9751996351</v>
      </c>
      <c r="N134" s="100">
        <f t="shared" si="22"/>
        <v>-1047948.1016286175</v>
      </c>
      <c r="O134" s="100">
        <f t="shared" si="17"/>
        <v>26532952.227023304</v>
      </c>
      <c r="P134" s="100">
        <f t="shared" si="18"/>
        <v>25485004.125394687</v>
      </c>
      <c r="Q134" s="103">
        <f t="shared" si="19"/>
        <v>65894970.031761363</v>
      </c>
      <c r="R134" s="103">
        <f t="shared" si="23"/>
        <v>501350.89699165098</v>
      </c>
      <c r="S134" s="103">
        <f>+'CAP-2 Program Expenses'!F149</f>
        <v>0</v>
      </c>
      <c r="T134" s="103">
        <f t="shared" si="20"/>
        <v>4229376.8721912857</v>
      </c>
      <c r="U134" s="1"/>
      <c r="V134" s="1"/>
      <c r="W134" s="103">
        <f>+Q134*'CAP-1 WACC'!$F$10/12</f>
        <v>120807.44505822916</v>
      </c>
      <c r="Z134" s="44">
        <v>6221512.1614215104</v>
      </c>
      <c r="AA134" s="47">
        <f t="shared" si="21"/>
        <v>-2493486.1862218753</v>
      </c>
    </row>
    <row r="135" spans="2:27" s="44" customFormat="1" ht="15.75" x14ac:dyDescent="0.25">
      <c r="B135" s="104">
        <f>+'CAP-2 Program Expenses'!A150</f>
        <v>49096</v>
      </c>
      <c r="C135" s="105">
        <f>+'CAP-2 Program Expenses'!B150</f>
        <v>0</v>
      </c>
      <c r="D135" s="105">
        <f>+'CAP-2 Program Expenses'!C150</f>
        <v>0</v>
      </c>
      <c r="E135" s="105">
        <f t="shared" si="14"/>
        <v>0</v>
      </c>
      <c r="F135" s="105">
        <f>'Financing Unamortized Balance'!DQ54</f>
        <v>0</v>
      </c>
      <c r="G135" s="105">
        <f>+SUM($E$15:E135)+F135</f>
        <v>447363117.02395612</v>
      </c>
      <c r="H135" s="105">
        <f>((SUM($C$15:C134)+C135))/12/$F$5</f>
        <v>2953345.4079837115</v>
      </c>
      <c r="I135" s="105">
        <f>(SUM($D$15:D134)+D135)/12/$F$5</f>
        <v>774680.56721592345</v>
      </c>
      <c r="J135" s="105">
        <f>SUM($H$16:I135)</f>
        <v>359711168.84199953</v>
      </c>
      <c r="K135" s="105">
        <f>SUM($C$16:D135)-J135+F135</f>
        <v>87651948.18195641</v>
      </c>
      <c r="L135" s="105">
        <f t="shared" si="16"/>
        <v>0</v>
      </c>
      <c r="M135" s="105">
        <f t="shared" si="15"/>
        <v>3728025.9751996351</v>
      </c>
      <c r="N135" s="105">
        <f t="shared" si="22"/>
        <v>-1047948.1016286175</v>
      </c>
      <c r="O135" s="105">
        <f t="shared" si="17"/>
        <v>25485004.125394687</v>
      </c>
      <c r="P135" s="105">
        <f t="shared" si="18"/>
        <v>24437056.023766071</v>
      </c>
      <c r="Q135" s="108">
        <f t="shared" si="19"/>
        <v>63214892.15819034</v>
      </c>
      <c r="R135" s="108">
        <f t="shared" si="23"/>
        <v>480959.97117023147</v>
      </c>
      <c r="S135" s="108">
        <f>+'CAP-2 Program Expenses'!F150</f>
        <v>0</v>
      </c>
      <c r="T135" s="108">
        <f t="shared" si="20"/>
        <v>4208985.9463698668</v>
      </c>
      <c r="U135" s="1"/>
      <c r="V135" s="1"/>
      <c r="W135" s="108">
        <f>+Q135*'CAP-1 WACC'!$F$10/12</f>
        <v>115893.96895668229</v>
      </c>
      <c r="Z135" s="44">
        <v>6221512.1614215104</v>
      </c>
      <c r="AA135" s="47">
        <f t="shared" si="21"/>
        <v>-2493486.1862218753</v>
      </c>
    </row>
    <row r="136" spans="2:27" s="44" customFormat="1" ht="15.75" x14ac:dyDescent="0.25">
      <c r="B136" s="5">
        <f>+'CAP-2 Program Expenses'!A151</f>
        <v>49126</v>
      </c>
      <c r="C136" s="100">
        <f>+'CAP-2 Program Expenses'!B151</f>
        <v>0</v>
      </c>
      <c r="D136" s="100">
        <f>+'CAP-2 Program Expenses'!C151</f>
        <v>0</v>
      </c>
      <c r="E136" s="100">
        <f t="shared" si="14"/>
        <v>0</v>
      </c>
      <c r="F136" s="100">
        <f>'Financing Unamortized Balance'!DR54</f>
        <v>0</v>
      </c>
      <c r="G136" s="100">
        <f>+SUM($E$15:E136)+F136</f>
        <v>447363117.02395612</v>
      </c>
      <c r="H136" s="100">
        <f>((SUM(C17:C135)+C136))/12/$F$5</f>
        <v>2953345.4079837115</v>
      </c>
      <c r="I136" s="100">
        <f>(SUM(D17:D135)+D136)/12/$F$5</f>
        <v>774680.56721592345</v>
      </c>
      <c r="J136" s="100">
        <f>SUM($H$16:I136)</f>
        <v>363439194.81719917</v>
      </c>
      <c r="K136" s="100">
        <f>SUM($C$16:D136)-J136+F136</f>
        <v>83923922.206756771</v>
      </c>
      <c r="L136" s="100">
        <f t="shared" si="16"/>
        <v>0</v>
      </c>
      <c r="M136" s="100">
        <f t="shared" si="15"/>
        <v>3728025.9751996351</v>
      </c>
      <c r="N136" s="100">
        <f t="shared" si="22"/>
        <v>-1047948.1016286175</v>
      </c>
      <c r="O136" s="100">
        <f t="shared" si="17"/>
        <v>24437056.023766071</v>
      </c>
      <c r="P136" s="100">
        <f t="shared" si="18"/>
        <v>23389107.922137454</v>
      </c>
      <c r="Q136" s="103">
        <f t="shared" si="19"/>
        <v>60534814.284619316</v>
      </c>
      <c r="R136" s="103">
        <f t="shared" si="23"/>
        <v>460569.04534881189</v>
      </c>
      <c r="S136" s="103">
        <f>+'CAP-2 Program Expenses'!F151</f>
        <v>0</v>
      </c>
      <c r="T136" s="103">
        <f t="shared" si="20"/>
        <v>4188595.020548447</v>
      </c>
      <c r="U136" s="1"/>
      <c r="V136" s="1"/>
      <c r="W136" s="103">
        <f>+Q136*'CAP-1 WACC'!$F$10/12</f>
        <v>110980.49285513541</v>
      </c>
      <c r="Z136" s="44">
        <v>6221512.1614215104</v>
      </c>
      <c r="AA136" s="47">
        <f t="shared" si="21"/>
        <v>-2493486.1862218753</v>
      </c>
    </row>
    <row r="137" spans="2:27" s="44" customFormat="1" ht="15.75" x14ac:dyDescent="0.25">
      <c r="B137" s="5">
        <f>+'CAP-2 Program Expenses'!A152</f>
        <v>49157</v>
      </c>
      <c r="C137" s="100">
        <f>+'CAP-2 Program Expenses'!B152</f>
        <v>0</v>
      </c>
      <c r="D137" s="100">
        <f>+'CAP-2 Program Expenses'!C152</f>
        <v>0</v>
      </c>
      <c r="E137" s="100">
        <f t="shared" si="14"/>
        <v>0</v>
      </c>
      <c r="F137" s="100">
        <f>'Financing Unamortized Balance'!DS54</f>
        <v>0</v>
      </c>
      <c r="G137" s="100">
        <f>+SUM($E$15:E137)+F137</f>
        <v>447363117.02395612</v>
      </c>
      <c r="H137" s="100">
        <f t="shared" ref="H137:H170" si="24">((SUM(C18:C136)+C137))/12/$F$5</f>
        <v>2953345.4079837115</v>
      </c>
      <c r="I137" s="100">
        <f t="shared" ref="I137:I170" si="25">(SUM(D18:D136)+D137)/12/$F$5</f>
        <v>774680.56721592345</v>
      </c>
      <c r="J137" s="100">
        <f>SUM($H$16:I137)</f>
        <v>367167220.79239881</v>
      </c>
      <c r="K137" s="100">
        <f>SUM($C$16:D137)-J137+F137</f>
        <v>80195896.231557131</v>
      </c>
      <c r="L137" s="100">
        <f t="shared" si="16"/>
        <v>0</v>
      </c>
      <c r="M137" s="100">
        <f t="shared" si="15"/>
        <v>3728025.9751996351</v>
      </c>
      <c r="N137" s="100">
        <f t="shared" si="22"/>
        <v>-1047948.1016286175</v>
      </c>
      <c r="O137" s="100">
        <f t="shared" si="17"/>
        <v>23389107.922137454</v>
      </c>
      <c r="P137" s="100">
        <f t="shared" si="18"/>
        <v>22341159.820508838</v>
      </c>
      <c r="Q137" s="103">
        <f t="shared" si="19"/>
        <v>57854736.411048293</v>
      </c>
      <c r="R137" s="103">
        <f t="shared" si="23"/>
        <v>440178.11952739238</v>
      </c>
      <c r="S137" s="103">
        <f>+'CAP-2 Program Expenses'!F152</f>
        <v>0</v>
      </c>
      <c r="T137" s="103">
        <f t="shared" si="20"/>
        <v>4168204.0947270277</v>
      </c>
      <c r="U137" s="1"/>
      <c r="V137" s="1"/>
      <c r="W137" s="103">
        <f>+Q137*'CAP-1 WACC'!$F$10/12</f>
        <v>106067.01675358853</v>
      </c>
      <c r="Z137" s="44">
        <v>6221512.1614215104</v>
      </c>
      <c r="AA137" s="47">
        <f t="shared" si="21"/>
        <v>-2493486.1862218753</v>
      </c>
    </row>
    <row r="138" spans="2:27" s="44" customFormat="1" ht="15.75" x14ac:dyDescent="0.25">
      <c r="B138" s="104">
        <f>+'CAP-2 Program Expenses'!A153</f>
        <v>49188</v>
      </c>
      <c r="C138" s="105">
        <f>+'CAP-2 Program Expenses'!B153</f>
        <v>0</v>
      </c>
      <c r="D138" s="105">
        <f>+'CAP-2 Program Expenses'!C153</f>
        <v>0</v>
      </c>
      <c r="E138" s="105">
        <f t="shared" si="14"/>
        <v>0</v>
      </c>
      <c r="F138" s="105">
        <f>'Financing Unamortized Balance'!DT54</f>
        <v>0</v>
      </c>
      <c r="G138" s="105">
        <f>+SUM($E$15:E138)+F138</f>
        <v>447363117.02395612</v>
      </c>
      <c r="H138" s="105">
        <f t="shared" si="24"/>
        <v>2953345.4079837115</v>
      </c>
      <c r="I138" s="105">
        <f t="shared" si="25"/>
        <v>774680.56721592345</v>
      </c>
      <c r="J138" s="105">
        <f>SUM($H$16:I138)</f>
        <v>370895246.76759845</v>
      </c>
      <c r="K138" s="105">
        <f>SUM($C$16:D138)-J138+F138</f>
        <v>76467870.256357491</v>
      </c>
      <c r="L138" s="105">
        <f t="shared" si="16"/>
        <v>0</v>
      </c>
      <c r="M138" s="105">
        <f t="shared" si="15"/>
        <v>3728025.9751996351</v>
      </c>
      <c r="N138" s="105">
        <f t="shared" si="22"/>
        <v>-1047948.1016286175</v>
      </c>
      <c r="O138" s="105">
        <f t="shared" si="17"/>
        <v>22341159.820508838</v>
      </c>
      <c r="P138" s="105">
        <f t="shared" si="18"/>
        <v>21293211.718880221</v>
      </c>
      <c r="Q138" s="108">
        <f t="shared" si="19"/>
        <v>55174658.53747727</v>
      </c>
      <c r="R138" s="108">
        <f t="shared" si="23"/>
        <v>419787.19370597287</v>
      </c>
      <c r="S138" s="108">
        <f>+'CAP-2 Program Expenses'!F153</f>
        <v>0</v>
      </c>
      <c r="T138" s="108">
        <f t="shared" si="20"/>
        <v>4147813.1689056079</v>
      </c>
      <c r="U138" s="1"/>
      <c r="V138" s="1"/>
      <c r="W138" s="108">
        <f>+Q138*'CAP-1 WACC'!$F$10/12</f>
        <v>101153.54065204166</v>
      </c>
      <c r="Z138" s="44">
        <v>6221512.1614215104</v>
      </c>
      <c r="AA138" s="47">
        <f t="shared" si="21"/>
        <v>-2493486.1862218753</v>
      </c>
    </row>
    <row r="139" spans="2:27" s="44" customFormat="1" ht="15.75" x14ac:dyDescent="0.25">
      <c r="B139" s="5">
        <f>+'CAP-2 Program Expenses'!A154</f>
        <v>49218</v>
      </c>
      <c r="C139" s="100">
        <f>+'CAP-2 Program Expenses'!B154</f>
        <v>0</v>
      </c>
      <c r="D139" s="100">
        <f>+'CAP-2 Program Expenses'!C154</f>
        <v>0</v>
      </c>
      <c r="E139" s="100">
        <f t="shared" si="14"/>
        <v>0</v>
      </c>
      <c r="F139" s="100">
        <f>'Financing Unamortized Balance'!DU54</f>
        <v>0</v>
      </c>
      <c r="G139" s="100">
        <f>+SUM($E$15:E139)+F139</f>
        <v>447363117.02395612</v>
      </c>
      <c r="H139" s="100">
        <f t="shared" si="24"/>
        <v>2953345.4079837115</v>
      </c>
      <c r="I139" s="100">
        <f t="shared" si="25"/>
        <v>774680.56721592345</v>
      </c>
      <c r="J139" s="100">
        <f>SUM($H$16:I139)</f>
        <v>374623272.74279809</v>
      </c>
      <c r="K139" s="100">
        <f>SUM($C$16:D139)-J139+F139</f>
        <v>72739844.281157851</v>
      </c>
      <c r="L139" s="100">
        <f t="shared" si="16"/>
        <v>0</v>
      </c>
      <c r="M139" s="100">
        <f t="shared" si="15"/>
        <v>3728025.9751996351</v>
      </c>
      <c r="N139" s="100">
        <f t="shared" si="22"/>
        <v>-1047948.1016286175</v>
      </c>
      <c r="O139" s="100">
        <f t="shared" si="17"/>
        <v>21293211.718880221</v>
      </c>
      <c r="P139" s="100">
        <f t="shared" si="18"/>
        <v>20245263.617251605</v>
      </c>
      <c r="Q139" s="103">
        <f t="shared" si="19"/>
        <v>52494580.663906246</v>
      </c>
      <c r="R139" s="103">
        <f t="shared" si="23"/>
        <v>399396.26788455329</v>
      </c>
      <c r="S139" s="103">
        <f>+'CAP-2 Program Expenses'!F154</f>
        <v>0</v>
      </c>
      <c r="T139" s="103">
        <f t="shared" si="20"/>
        <v>4127422.2430841886</v>
      </c>
      <c r="U139" s="1"/>
      <c r="V139" s="1"/>
      <c r="W139" s="103">
        <f>+Q139*'CAP-1 WACC'!$F$10/12</f>
        <v>96240.064550494775</v>
      </c>
      <c r="Z139" s="44">
        <v>6221512.1614215104</v>
      </c>
      <c r="AA139" s="47">
        <f t="shared" si="21"/>
        <v>-2493486.1862218753</v>
      </c>
    </row>
    <row r="140" spans="2:27" s="44" customFormat="1" ht="15.75" x14ac:dyDescent="0.25">
      <c r="B140" s="5">
        <f>+'CAP-2 Program Expenses'!A155</f>
        <v>49249</v>
      </c>
      <c r="C140" s="100">
        <f>+'CAP-2 Program Expenses'!B155</f>
        <v>0</v>
      </c>
      <c r="D140" s="100">
        <f>+'CAP-2 Program Expenses'!C155</f>
        <v>0</v>
      </c>
      <c r="E140" s="100">
        <f t="shared" si="14"/>
        <v>0</v>
      </c>
      <c r="F140" s="100">
        <f>'Financing Unamortized Balance'!DV54</f>
        <v>0</v>
      </c>
      <c r="G140" s="100">
        <f>+SUM($E$15:E140)+F140</f>
        <v>447363117.02395612</v>
      </c>
      <c r="H140" s="100">
        <f t="shared" si="24"/>
        <v>2953345.4079837115</v>
      </c>
      <c r="I140" s="100">
        <f t="shared" si="25"/>
        <v>774680.56721592345</v>
      </c>
      <c r="J140" s="100">
        <f>SUM($H$16:I140)</f>
        <v>378351298.71799773</v>
      </c>
      <c r="K140" s="100">
        <f>SUM($C$16:D140)-J140+F140</f>
        <v>69011818.305958211</v>
      </c>
      <c r="L140" s="100">
        <f t="shared" si="16"/>
        <v>0</v>
      </c>
      <c r="M140" s="100">
        <f t="shared" si="15"/>
        <v>3728025.9751996351</v>
      </c>
      <c r="N140" s="100">
        <f t="shared" si="22"/>
        <v>-1047948.1016286175</v>
      </c>
      <c r="O140" s="100">
        <f t="shared" si="17"/>
        <v>20245263.617251605</v>
      </c>
      <c r="P140" s="100">
        <f t="shared" si="18"/>
        <v>19197315.515622988</v>
      </c>
      <c r="Q140" s="103">
        <f t="shared" si="19"/>
        <v>49814502.790335223</v>
      </c>
      <c r="R140" s="103">
        <f t="shared" si="23"/>
        <v>379005.34206313378</v>
      </c>
      <c r="S140" s="103">
        <f>+'CAP-2 Program Expenses'!F155</f>
        <v>0</v>
      </c>
      <c r="T140" s="103">
        <f t="shared" si="20"/>
        <v>4107031.3172627687</v>
      </c>
      <c r="U140" s="1"/>
      <c r="V140" s="1"/>
      <c r="W140" s="103">
        <f>+Q140*'CAP-1 WACC'!$F$10/12</f>
        <v>91326.588448947892</v>
      </c>
      <c r="Z140" s="44">
        <v>6221512.1614215104</v>
      </c>
      <c r="AA140" s="47">
        <f t="shared" si="21"/>
        <v>-2493486.1862218753</v>
      </c>
    </row>
    <row r="141" spans="2:27" s="44" customFormat="1" ht="15.75" x14ac:dyDescent="0.25">
      <c r="B141" s="104">
        <f>+'CAP-2 Program Expenses'!A156</f>
        <v>49279</v>
      </c>
      <c r="C141" s="105">
        <f>+'CAP-2 Program Expenses'!B156</f>
        <v>0</v>
      </c>
      <c r="D141" s="105">
        <f>+'CAP-2 Program Expenses'!C156</f>
        <v>0</v>
      </c>
      <c r="E141" s="105">
        <f t="shared" si="14"/>
        <v>0</v>
      </c>
      <c r="F141" s="105">
        <f>'Financing Unamortized Balance'!DW54</f>
        <v>0</v>
      </c>
      <c r="G141" s="105">
        <f>+SUM($E$15:E141)+F141</f>
        <v>447363117.02395612</v>
      </c>
      <c r="H141" s="105">
        <f t="shared" si="24"/>
        <v>2953345.4079837115</v>
      </c>
      <c r="I141" s="105">
        <f t="shared" si="25"/>
        <v>774680.56721592345</v>
      </c>
      <c r="J141" s="105">
        <f>SUM($H$16:I141)</f>
        <v>382079324.69319737</v>
      </c>
      <c r="K141" s="105">
        <f>SUM($C$16:D141)-J141+F141</f>
        <v>65283792.330758572</v>
      </c>
      <c r="L141" s="105">
        <f t="shared" si="16"/>
        <v>0</v>
      </c>
      <c r="M141" s="105">
        <f t="shared" si="15"/>
        <v>3728025.9751996351</v>
      </c>
      <c r="N141" s="105">
        <f t="shared" si="22"/>
        <v>-1047948.1016286175</v>
      </c>
      <c r="O141" s="105">
        <f t="shared" si="17"/>
        <v>19197315.515622988</v>
      </c>
      <c r="P141" s="105">
        <f t="shared" si="18"/>
        <v>18149367.413994372</v>
      </c>
      <c r="Q141" s="108">
        <f t="shared" si="19"/>
        <v>47134424.9167642</v>
      </c>
      <c r="R141" s="108">
        <f t="shared" si="23"/>
        <v>358614.41624171427</v>
      </c>
      <c r="S141" s="108">
        <f>+'CAP-2 Program Expenses'!F156</f>
        <v>0</v>
      </c>
      <c r="T141" s="108">
        <f t="shared" si="20"/>
        <v>4086640.3914413494</v>
      </c>
      <c r="U141" s="1"/>
      <c r="V141" s="1"/>
      <c r="W141" s="108">
        <f>+Q141*'CAP-1 WACC'!$F$10/12</f>
        <v>86413.112347401024</v>
      </c>
      <c r="Z141" s="44">
        <v>6221512.1614215104</v>
      </c>
      <c r="AA141" s="47">
        <f t="shared" si="21"/>
        <v>-2493486.1862218753</v>
      </c>
    </row>
    <row r="142" spans="2:27" s="44" customFormat="1" ht="15.75" x14ac:dyDescent="0.25">
      <c r="B142" s="5">
        <f>+'CAP-2 Program Expenses'!A157</f>
        <v>49310</v>
      </c>
      <c r="C142" s="100">
        <f>+'CAP-2 Program Expenses'!B157</f>
        <v>0</v>
      </c>
      <c r="D142" s="100">
        <f>+'CAP-2 Program Expenses'!C157</f>
        <v>0</v>
      </c>
      <c r="E142" s="100">
        <f t="shared" si="14"/>
        <v>0</v>
      </c>
      <c r="F142" s="100">
        <f>'Financing Unamortized Balance'!DX54</f>
        <v>0</v>
      </c>
      <c r="G142" s="100">
        <f>+SUM($E$15:E142)+F142</f>
        <v>447363117.02395612</v>
      </c>
      <c r="H142" s="100">
        <f t="shared" si="24"/>
        <v>2943925.3669837113</v>
      </c>
      <c r="I142" s="100">
        <f t="shared" si="25"/>
        <v>774680.56721592345</v>
      </c>
      <c r="J142" s="100">
        <f>SUM($H$16:I142)</f>
        <v>385797930.627397</v>
      </c>
      <c r="K142" s="100">
        <f>SUM($C$16:D142)-J142+F142</f>
        <v>61565186.39655894</v>
      </c>
      <c r="L142" s="100">
        <f t="shared" si="16"/>
        <v>0</v>
      </c>
      <c r="M142" s="100">
        <f t="shared" si="15"/>
        <v>3718605.9341996349</v>
      </c>
      <c r="N142" s="100">
        <f t="shared" si="22"/>
        <v>-1045300.1281035175</v>
      </c>
      <c r="O142" s="100">
        <f t="shared" si="17"/>
        <v>18149367.413994372</v>
      </c>
      <c r="P142" s="100">
        <f t="shared" si="18"/>
        <v>17104067.285890855</v>
      </c>
      <c r="Q142" s="103">
        <f t="shared" si="19"/>
        <v>44461119.110668086</v>
      </c>
      <c r="R142" s="103">
        <f t="shared" si="23"/>
        <v>338275.01456699963</v>
      </c>
      <c r="S142" s="103">
        <f>+'CAP-2 Program Expenses'!F157</f>
        <v>0</v>
      </c>
      <c r="T142" s="103">
        <f t="shared" si="20"/>
        <v>4056880.9487666348</v>
      </c>
      <c r="U142" s="1"/>
      <c r="V142" s="1"/>
      <c r="W142" s="103">
        <f>+Q142*'CAP-1 WACC'!$F$10/12</f>
        <v>81512.051702891491</v>
      </c>
      <c r="Z142" s="44">
        <v>6024991.7509768233</v>
      </c>
      <c r="AA142" s="47">
        <f t="shared" si="21"/>
        <v>-2306385.8167771883</v>
      </c>
    </row>
    <row r="143" spans="2:27" s="44" customFormat="1" ht="15.75" x14ac:dyDescent="0.25">
      <c r="B143" s="5">
        <f>+'CAP-2 Program Expenses'!A158</f>
        <v>49341</v>
      </c>
      <c r="C143" s="100">
        <f>+'CAP-2 Program Expenses'!B158</f>
        <v>0</v>
      </c>
      <c r="D143" s="100">
        <f>+'CAP-2 Program Expenses'!C158</f>
        <v>0</v>
      </c>
      <c r="E143" s="100">
        <f t="shared" si="14"/>
        <v>0</v>
      </c>
      <c r="F143" s="100">
        <f>'Financing Unamortized Balance'!DY54</f>
        <v>0</v>
      </c>
      <c r="G143" s="100">
        <f>+SUM($E$15:E143)+F143</f>
        <v>447363117.02395612</v>
      </c>
      <c r="H143" s="100">
        <f t="shared" si="24"/>
        <v>2932098.6869837111</v>
      </c>
      <c r="I143" s="100">
        <f t="shared" si="25"/>
        <v>774680.56721592345</v>
      </c>
      <c r="J143" s="100">
        <f>SUM($H$16:I143)</f>
        <v>389504709.88159662</v>
      </c>
      <c r="K143" s="100">
        <f>SUM($C$16:D143)-J143+F143</f>
        <v>57858407.142359316</v>
      </c>
      <c r="L143" s="100">
        <f t="shared" si="16"/>
        <v>0</v>
      </c>
      <c r="M143" s="100">
        <f t="shared" si="15"/>
        <v>3706779.2541996343</v>
      </c>
      <c r="N143" s="100">
        <f t="shared" si="22"/>
        <v>-1041975.6483555173</v>
      </c>
      <c r="O143" s="100">
        <f t="shared" si="17"/>
        <v>17104067.285890855</v>
      </c>
      <c r="P143" s="100">
        <f t="shared" si="18"/>
        <v>16062091.637535337</v>
      </c>
      <c r="Q143" s="103">
        <f t="shared" si="19"/>
        <v>41796315.504823983</v>
      </c>
      <c r="R143" s="103">
        <f t="shared" si="23"/>
        <v>318000.30046586908</v>
      </c>
      <c r="S143" s="103">
        <f>+'CAP-2 Program Expenses'!F158</f>
        <v>0</v>
      </c>
      <c r="T143" s="103">
        <f t="shared" si="20"/>
        <v>4024779.5546655036</v>
      </c>
      <c r="U143" s="1"/>
      <c r="V143" s="1"/>
      <c r="W143" s="103">
        <f>+Q143*'CAP-1 WACC'!$F$10/12</f>
        <v>76626.578425510626</v>
      </c>
      <c r="Z143" s="44">
        <v>5828471.3405321361</v>
      </c>
      <c r="AA143" s="47">
        <f t="shared" si="21"/>
        <v>-2121692.0863325018</v>
      </c>
    </row>
    <row r="144" spans="2:27" s="44" customFormat="1" ht="15.75" x14ac:dyDescent="0.25">
      <c r="B144" s="104">
        <f>+'CAP-2 Program Expenses'!A159</f>
        <v>49369</v>
      </c>
      <c r="C144" s="105">
        <f>+'CAP-2 Program Expenses'!B159</f>
        <v>0</v>
      </c>
      <c r="D144" s="105">
        <f>+'CAP-2 Program Expenses'!C159</f>
        <v>0</v>
      </c>
      <c r="E144" s="105">
        <f t="shared" si="14"/>
        <v>0</v>
      </c>
      <c r="F144" s="105">
        <f>'Financing Unamortized Balance'!DZ54</f>
        <v>0</v>
      </c>
      <c r="G144" s="105">
        <f>+SUM($E$15:E144)+F144</f>
        <v>447363117.02395612</v>
      </c>
      <c r="H144" s="105">
        <f t="shared" si="24"/>
        <v>2921970.7552337111</v>
      </c>
      <c r="I144" s="105">
        <f t="shared" si="25"/>
        <v>774680.56721592345</v>
      </c>
      <c r="J144" s="105">
        <f>SUM($H$16:I144)</f>
        <v>393201361.20404625</v>
      </c>
      <c r="K144" s="105">
        <f>SUM($C$16:D144)-J144+F144</f>
        <v>54161755.819909692</v>
      </c>
      <c r="L144" s="105">
        <f t="shared" si="16"/>
        <v>0</v>
      </c>
      <c r="M144" s="105">
        <f t="shared" si="15"/>
        <v>3696651.3224496348</v>
      </c>
      <c r="N144" s="105">
        <f t="shared" si="22"/>
        <v>-1039128.6867405924</v>
      </c>
      <c r="O144" s="105">
        <f t="shared" si="17"/>
        <v>16062091.637535337</v>
      </c>
      <c r="P144" s="105">
        <f t="shared" si="18"/>
        <v>15022962.950794745</v>
      </c>
      <c r="Q144" s="108">
        <f t="shared" si="19"/>
        <v>39138792.86911495</v>
      </c>
      <c r="R144" s="108">
        <f t="shared" si="23"/>
        <v>297780.9824125162</v>
      </c>
      <c r="S144" s="108">
        <f>+'CAP-2 Program Expenses'!F159</f>
        <v>0</v>
      </c>
      <c r="T144" s="108">
        <f>+SUM(H144:I144)+SUM(R144:S144)</f>
        <v>3994432.3048621509</v>
      </c>
      <c r="U144" s="1"/>
      <c r="V144" s="1"/>
      <c r="W144" s="108">
        <f>+Q144*'CAP-1 WACC'!$F$10/12</f>
        <v>71754.453593377402</v>
      </c>
      <c r="Z144" s="44">
        <v>5631950.930087449</v>
      </c>
      <c r="AA144" s="47">
        <f t="shared" si="21"/>
        <v>-1935299.6076378142</v>
      </c>
    </row>
    <row r="145" spans="2:27" s="44" customFormat="1" ht="15.75" x14ac:dyDescent="0.25">
      <c r="B145" s="5">
        <f>+'CAP-2 Program Expenses'!A160</f>
        <v>49400</v>
      </c>
      <c r="C145" s="100">
        <f>+'CAP-2 Program Expenses'!B160</f>
        <v>0</v>
      </c>
      <c r="D145" s="100">
        <f>+'CAP-2 Program Expenses'!C160</f>
        <v>0</v>
      </c>
      <c r="E145" s="100">
        <f>SUM(C145:D145)</f>
        <v>0</v>
      </c>
      <c r="F145" s="100">
        <f>'Financing Unamortized Balance'!EA54</f>
        <v>0</v>
      </c>
      <c r="G145" s="100">
        <f>+SUM($E$15:E145)+F145</f>
        <v>447363117.02395612</v>
      </c>
      <c r="H145" s="100">
        <f t="shared" si="24"/>
        <v>2908863.8289003777</v>
      </c>
      <c r="I145" s="100">
        <f t="shared" si="25"/>
        <v>774680.56721592345</v>
      </c>
      <c r="J145" s="100">
        <f>SUM($H$16:I145)</f>
        <v>396884905.60016257</v>
      </c>
      <c r="K145" s="100">
        <f>SUM($C$16:D145)-J145+F145</f>
        <v>50478211.423793375</v>
      </c>
      <c r="L145" s="100">
        <f t="shared" si="16"/>
        <v>0</v>
      </c>
      <c r="M145" s="100">
        <f t="shared" ref="M145:M170" si="26">H145+I145+F145</f>
        <v>3683544.3961163014</v>
      </c>
      <c r="N145" s="100">
        <f t="shared" si="22"/>
        <v>-1035444.3297482923</v>
      </c>
      <c r="O145" s="100">
        <f t="shared" si="17"/>
        <v>15022962.950794745</v>
      </c>
      <c r="P145" s="100">
        <f>+P144+N145</f>
        <v>13987518.621046454</v>
      </c>
      <c r="Q145" s="103">
        <f>K145-P145</f>
        <v>36490692.802746922</v>
      </c>
      <c r="R145" s="103">
        <f t="shared" si="23"/>
        <v>277633.35440756613</v>
      </c>
      <c r="S145" s="103">
        <f>+'CAP-2 Program Expenses'!F160</f>
        <v>0</v>
      </c>
      <c r="T145" s="103">
        <f>+SUM(H145:I145)+SUM(R145:S145)</f>
        <v>3961177.7505238676</v>
      </c>
      <c r="U145" s="1"/>
      <c r="V145" s="1"/>
      <c r="W145" s="103">
        <f>+Q145*'CAP-1 WACC'!$F$10/12</f>
        <v>66899.603471702678</v>
      </c>
      <c r="Z145" s="44">
        <v>5435430.5196427619</v>
      </c>
      <c r="AA145" s="47">
        <f t="shared" si="21"/>
        <v>-1751886.1235264605</v>
      </c>
    </row>
    <row r="146" spans="2:27" s="44" customFormat="1" ht="15.75" x14ac:dyDescent="0.25">
      <c r="B146" s="5">
        <f>+'CAP-2 Program Expenses'!A161</f>
        <v>49430</v>
      </c>
      <c r="C146" s="100">
        <f>+'CAP-2 Program Expenses'!B161</f>
        <v>0</v>
      </c>
      <c r="D146" s="100">
        <f>+'CAP-2 Program Expenses'!C161</f>
        <v>0</v>
      </c>
      <c r="E146" s="100">
        <f>SUM(C146:D146)</f>
        <v>0</v>
      </c>
      <c r="F146" s="100">
        <f>'Financing Unamortized Balance'!EB54</f>
        <v>0</v>
      </c>
      <c r="G146" s="100">
        <f>+SUM($E$15:E146)+F146</f>
        <v>447363117.02395612</v>
      </c>
      <c r="H146" s="100">
        <f t="shared" si="24"/>
        <v>2852158.5226503778</v>
      </c>
      <c r="I146" s="100">
        <f t="shared" si="25"/>
        <v>774680.56721592345</v>
      </c>
      <c r="J146" s="100">
        <f>SUM($H$16:I146)</f>
        <v>400511744.69002885</v>
      </c>
      <c r="K146" s="100">
        <f>SUM($C$16:D146)-J146+F146</f>
        <v>46851372.333927095</v>
      </c>
      <c r="L146" s="100">
        <f t="shared" ref="L146:L170" si="27">E146+F146</f>
        <v>0</v>
      </c>
      <c r="M146" s="100">
        <f t="shared" si="26"/>
        <v>3626839.089866301</v>
      </c>
      <c r="N146" s="100">
        <f t="shared" si="22"/>
        <v>-1019504.4681614173</v>
      </c>
      <c r="O146" s="100">
        <f>+O145+N145</f>
        <v>13987518.621046454</v>
      </c>
      <c r="P146" s="100">
        <f>+P145+N146</f>
        <v>12968014.152885037</v>
      </c>
      <c r="Q146" s="103">
        <f>K146-P146</f>
        <v>33883358.18104206</v>
      </c>
      <c r="R146" s="103">
        <f t="shared" si="23"/>
        <v>257795.88349409497</v>
      </c>
      <c r="S146" s="103">
        <f>+'CAP-2 Program Expenses'!F161</f>
        <v>0</v>
      </c>
      <c r="T146" s="103">
        <f>+SUM(H146:I146)+SUM(R146:S146)</f>
        <v>3884634.973360396</v>
      </c>
      <c r="U146" s="1"/>
      <c r="V146" s="1"/>
      <c r="W146" s="103">
        <f>+Q146*'CAP-1 WACC'!$F$10/12</f>
        <v>62119.489998577104</v>
      </c>
      <c r="Z146" s="44">
        <v>5238910.1091980748</v>
      </c>
      <c r="AA146" s="47">
        <f t="shared" si="21"/>
        <v>-1612071.0193317737</v>
      </c>
    </row>
    <row r="147" spans="2:27" s="44" customFormat="1" ht="15.75" x14ac:dyDescent="0.25">
      <c r="B147" s="104">
        <f>+'CAP-2 Program Expenses'!A162</f>
        <v>49461</v>
      </c>
      <c r="C147" s="109">
        <f>+'CAP-2 Program Expenses'!B162</f>
        <v>0</v>
      </c>
      <c r="D147" s="109">
        <f>+'CAP-2 Program Expenses'!C162</f>
        <v>0</v>
      </c>
      <c r="E147" s="109">
        <f>SUM(C147:D147)</f>
        <v>0</v>
      </c>
      <c r="F147" s="109">
        <f>'Financing Unamortized Balance'!EC54</f>
        <v>0</v>
      </c>
      <c r="G147" s="105">
        <f>+SUM($E$15:E147)+F147</f>
        <v>447363117.02395612</v>
      </c>
      <c r="H147" s="105">
        <f t="shared" si="24"/>
        <v>2772480.6247337116</v>
      </c>
      <c r="I147" s="105">
        <f t="shared" si="25"/>
        <v>774680.56721592345</v>
      </c>
      <c r="J147" s="105">
        <f>SUM($H$16:I147)</f>
        <v>404058905.88197845</v>
      </c>
      <c r="K147" s="105">
        <f>SUM($C$16:D147)-J147+F147</f>
        <v>43304211.141977489</v>
      </c>
      <c r="L147" s="105">
        <f t="shared" si="27"/>
        <v>0</v>
      </c>
      <c r="M147" s="105">
        <f t="shared" si="26"/>
        <v>3547161.1919496348</v>
      </c>
      <c r="N147" s="105">
        <f t="shared" si="22"/>
        <v>-997107.0110570424</v>
      </c>
      <c r="O147" s="109">
        <f>+O146+N146</f>
        <v>12968014.152885037</v>
      </c>
      <c r="P147" s="109">
        <f>+P146+N147</f>
        <v>11970907.141827995</v>
      </c>
      <c r="Q147" s="110">
        <f>K147-P147</f>
        <v>31333304.000149496</v>
      </c>
      <c r="R147" s="110">
        <f t="shared" si="23"/>
        <v>238394.22126780404</v>
      </c>
      <c r="S147" s="110">
        <f>+'CAP-2 Program Expenses'!F162</f>
        <v>0</v>
      </c>
      <c r="T147" s="110">
        <f>+SUM(H147:I147)+SUM(R147:S147)</f>
        <v>3785555.4132174389</v>
      </c>
      <c r="U147" s="1"/>
      <c r="V147" s="1"/>
      <c r="W147" s="110">
        <f>+Q147*'CAP-1 WACC'!$F$10/12</f>
        <v>57444.390666940737</v>
      </c>
      <c r="Z147" s="44">
        <v>5042389.6987533867</v>
      </c>
      <c r="AA147" s="47">
        <f t="shared" si="21"/>
        <v>-1495228.5068037519</v>
      </c>
    </row>
    <row r="148" spans="2:27" s="44" customFormat="1" ht="18" x14ac:dyDescent="0.4">
      <c r="B148" s="5">
        <v>49491</v>
      </c>
      <c r="C148" s="112"/>
      <c r="D148" s="112"/>
      <c r="E148" s="112"/>
      <c r="F148" s="112"/>
      <c r="G148" s="100">
        <f>+SUM($E$15:E148)+F148</f>
        <v>447363117.02395612</v>
      </c>
      <c r="H148" s="100">
        <f t="shared" si="24"/>
        <v>2669056.5744003775</v>
      </c>
      <c r="I148" s="100">
        <f t="shared" si="25"/>
        <v>774680.56721592345</v>
      </c>
      <c r="J148" s="100">
        <f>SUM($H$16:I148)</f>
        <v>407502643.02359474</v>
      </c>
      <c r="K148" s="100">
        <f>SUM($C$16:D148)-J148+F148</f>
        <v>39860474.000361204</v>
      </c>
      <c r="L148" s="100">
        <f t="shared" si="27"/>
        <v>0</v>
      </c>
      <c r="M148" s="100">
        <f t="shared" si="26"/>
        <v>3443737.1416163007</v>
      </c>
      <c r="N148" s="100">
        <f t="shared" si="22"/>
        <v>-968034.51050834218</v>
      </c>
      <c r="O148" s="38">
        <f t="shared" ref="O148:O170" si="28">+O147+N147</f>
        <v>11970907.141827995</v>
      </c>
      <c r="P148" s="38">
        <f t="shared" ref="P148:P170" si="29">+P147+N148</f>
        <v>11002872.631319653</v>
      </c>
      <c r="Q148" s="113">
        <f t="shared" ref="Q148:Q170" si="30">K148-P148</f>
        <v>28857601.369041551</v>
      </c>
      <c r="R148" s="113">
        <f t="shared" si="23"/>
        <v>219558.25041612444</v>
      </c>
      <c r="S148" s="113">
        <f>+'CAP-2 Program Expenses'!F163</f>
        <v>33092411.15761194</v>
      </c>
      <c r="T148" s="113">
        <f t="shared" ref="T148:T170" si="31">+SUM(H148:I148)+SUM(R148:S148)</f>
        <v>36755706.549644366</v>
      </c>
      <c r="U148" s="1"/>
      <c r="V148" s="1"/>
      <c r="W148" s="113">
        <f>+Q148*'CAP-1 WACC'!$F$10/12</f>
        <v>52905.602509909506</v>
      </c>
      <c r="Z148" s="44">
        <v>4834413.6972935684</v>
      </c>
      <c r="AA148" s="47">
        <f t="shared" si="21"/>
        <v>-1390676.5556772677</v>
      </c>
    </row>
    <row r="149" spans="2:27" s="44" customFormat="1" ht="18" x14ac:dyDescent="0.4">
      <c r="B149" s="5">
        <v>49522</v>
      </c>
      <c r="C149" s="112"/>
      <c r="D149" s="112"/>
      <c r="E149" s="112"/>
      <c r="F149" s="112"/>
      <c r="G149" s="100">
        <f>+SUM($E$15:E149)+F149</f>
        <v>447363117.02395612</v>
      </c>
      <c r="H149" s="100">
        <f t="shared" si="24"/>
        <v>2524563.5988170449</v>
      </c>
      <c r="I149" s="100">
        <f t="shared" si="25"/>
        <v>774680.56721592345</v>
      </c>
      <c r="J149" s="100">
        <f>SUM($H$16:I149)</f>
        <v>410801887.18962771</v>
      </c>
      <c r="K149" s="100">
        <f>SUM($C$16:D149)-J149+F149</f>
        <v>36561229.834328234</v>
      </c>
      <c r="L149" s="100">
        <f t="shared" si="27"/>
        <v>0</v>
      </c>
      <c r="M149" s="100">
        <f t="shared" si="26"/>
        <v>3299244.1660329681</v>
      </c>
      <c r="N149" s="100">
        <f t="shared" si="22"/>
        <v>-927417.5350718674</v>
      </c>
      <c r="O149" s="38">
        <f t="shared" si="28"/>
        <v>11002872.631319653</v>
      </c>
      <c r="P149" s="38">
        <f t="shared" si="29"/>
        <v>10075455.096247787</v>
      </c>
      <c r="Q149" s="113">
        <f t="shared" si="30"/>
        <v>26485774.738080449</v>
      </c>
      <c r="R149" s="113">
        <f t="shared" si="23"/>
        <v>201512.60279889539</v>
      </c>
      <c r="S149" s="113">
        <f>+'CAP-2 Program Expenses'!F164</f>
        <v>0</v>
      </c>
      <c r="T149" s="113">
        <f t="shared" si="31"/>
        <v>3500756.7688318635</v>
      </c>
      <c r="U149" s="1"/>
      <c r="V149" s="1"/>
      <c r="W149" s="113">
        <f>+Q149*'CAP-1 WACC'!$F$10/12</f>
        <v>48557.253686480828</v>
      </c>
      <c r="Z149" s="44">
        <v>4626437.6958337501</v>
      </c>
      <c r="AA149" s="47">
        <f t="shared" si="21"/>
        <v>-1327193.529800782</v>
      </c>
    </row>
    <row r="150" spans="2:27" s="44" customFormat="1" ht="18" x14ac:dyDescent="0.4">
      <c r="B150" s="104">
        <v>49553</v>
      </c>
      <c r="C150" s="114"/>
      <c r="D150" s="114"/>
      <c r="E150" s="114"/>
      <c r="F150" s="114"/>
      <c r="G150" s="105">
        <f>+SUM($E$15:E150)+F150</f>
        <v>447363117.02395612</v>
      </c>
      <c r="H150" s="105">
        <f t="shared" si="24"/>
        <v>2420028.6183170448</v>
      </c>
      <c r="I150" s="105">
        <f t="shared" si="25"/>
        <v>774680.56721592345</v>
      </c>
      <c r="J150" s="105">
        <f>SUM($H$16:I150)</f>
        <v>413996596.37516069</v>
      </c>
      <c r="K150" s="105">
        <f>SUM($C$16:D150)-J150+F150</f>
        <v>33366520.648795247</v>
      </c>
      <c r="L150" s="105">
        <f t="shared" si="27"/>
        <v>0</v>
      </c>
      <c r="M150" s="105">
        <f t="shared" si="26"/>
        <v>3194709.1855329685</v>
      </c>
      <c r="N150" s="105">
        <f t="shared" si="22"/>
        <v>-898032.7520533175</v>
      </c>
      <c r="O150" s="109">
        <f t="shared" si="28"/>
        <v>10075455.096247787</v>
      </c>
      <c r="P150" s="109">
        <f t="shared" si="29"/>
        <v>9177422.34419447</v>
      </c>
      <c r="Q150" s="110">
        <f t="shared" si="30"/>
        <v>24189098.304600775</v>
      </c>
      <c r="R150" s="110">
        <f t="shared" si="23"/>
        <v>184038.72293417089</v>
      </c>
      <c r="S150" s="110">
        <f>+'CAP-2 Program Expenses'!F165</f>
        <v>0</v>
      </c>
      <c r="T150" s="110">
        <f t="shared" si="31"/>
        <v>3378747.9084671396</v>
      </c>
      <c r="U150" s="1"/>
      <c r="V150" s="1"/>
      <c r="W150" s="110">
        <f>+Q150*'CAP-1 WACC'!$F$10/12</f>
        <v>44346.680225101416</v>
      </c>
      <c r="Z150" s="44">
        <v>4418461.6943739317</v>
      </c>
      <c r="AA150" s="47">
        <f t="shared" si="21"/>
        <v>-1223752.5088409632</v>
      </c>
    </row>
    <row r="151" spans="2:27" s="44" customFormat="1" ht="18" x14ac:dyDescent="0.4">
      <c r="B151" s="5">
        <v>49583</v>
      </c>
      <c r="C151" s="112"/>
      <c r="D151" s="112"/>
      <c r="E151" s="112"/>
      <c r="F151" s="112"/>
      <c r="G151" s="100">
        <f>+SUM($E$15:E151)+F151</f>
        <v>447363117.02395612</v>
      </c>
      <c r="H151" s="100">
        <f t="shared" si="24"/>
        <v>2329409.4141503782</v>
      </c>
      <c r="I151" s="100">
        <f t="shared" si="25"/>
        <v>774680.56721592345</v>
      </c>
      <c r="J151" s="100">
        <f>SUM($H$16:I151)</f>
        <v>417100686.35652697</v>
      </c>
      <c r="K151" s="100">
        <f>SUM($C$16:D151)-J151+F151</f>
        <v>30262430.66742897</v>
      </c>
      <c r="L151" s="100">
        <f t="shared" si="27"/>
        <v>0</v>
      </c>
      <c r="M151" s="100">
        <f t="shared" si="26"/>
        <v>3104089.9813663019</v>
      </c>
      <c r="N151" s="100">
        <f t="shared" si="22"/>
        <v>-872559.69376206747</v>
      </c>
      <c r="O151" s="38">
        <f t="shared" si="28"/>
        <v>9177422.34419447</v>
      </c>
      <c r="P151" s="38">
        <f t="shared" si="29"/>
        <v>8304862.6504324023</v>
      </c>
      <c r="Q151" s="113">
        <f t="shared" si="30"/>
        <v>21957568.01699657</v>
      </c>
      <c r="R151" s="113">
        <f t="shared" si="23"/>
        <v>167060.49666264889</v>
      </c>
      <c r="S151" s="113">
        <f>+'CAP-2 Program Expenses'!F166</f>
        <v>0</v>
      </c>
      <c r="T151" s="113">
        <f t="shared" si="31"/>
        <v>3271150.4780289507</v>
      </c>
      <c r="U151" s="1"/>
      <c r="V151" s="1"/>
      <c r="W151" s="113">
        <f>+Q151*'CAP-1 WACC'!$F$10/12</f>
        <v>40255.541364493707</v>
      </c>
      <c r="Z151" s="44">
        <v>4210485.6929141134</v>
      </c>
      <c r="AA151" s="47">
        <f t="shared" ref="AA151:AA170" si="32">H151+I151-Z151</f>
        <v>-1106395.7115478115</v>
      </c>
    </row>
    <row r="152" spans="2:27" s="44" customFormat="1" ht="18" x14ac:dyDescent="0.4">
      <c r="B152" s="5">
        <v>49614</v>
      </c>
      <c r="C152" s="112"/>
      <c r="D152" s="112"/>
      <c r="E152" s="112"/>
      <c r="F152" s="112"/>
      <c r="G152" s="100">
        <f>+SUM($E$15:E152)+F152</f>
        <v>447363117.02395612</v>
      </c>
      <c r="H152" s="100">
        <f t="shared" si="24"/>
        <v>2240744.285150378</v>
      </c>
      <c r="I152" s="100">
        <f t="shared" si="25"/>
        <v>774680.56721592345</v>
      </c>
      <c r="J152" s="100">
        <f>SUM($H$16:I152)</f>
        <v>420116111.20889324</v>
      </c>
      <c r="K152" s="100">
        <f>SUM($C$16:D152)-J152+F152</f>
        <v>27247005.815062702</v>
      </c>
      <c r="L152" s="100">
        <f t="shared" si="27"/>
        <v>0</v>
      </c>
      <c r="M152" s="100">
        <f t="shared" si="26"/>
        <v>3015424.8523663012</v>
      </c>
      <c r="N152" s="100">
        <f t="shared" ref="N152:N170" si="33">+(L152-M152)*F$7</f>
        <v>-847635.92600016738</v>
      </c>
      <c r="O152" s="38">
        <f t="shared" si="28"/>
        <v>8304862.6504324023</v>
      </c>
      <c r="P152" s="38">
        <f t="shared" si="29"/>
        <v>7457226.7244322347</v>
      </c>
      <c r="Q152" s="113">
        <f t="shared" si="30"/>
        <v>19789779.090630468</v>
      </c>
      <c r="R152" s="113">
        <f t="shared" si="23"/>
        <v>150567.23591454679</v>
      </c>
      <c r="S152" s="113">
        <f>+'CAP-2 Program Expenses'!F167</f>
        <v>0</v>
      </c>
      <c r="T152" s="113">
        <f t="shared" si="31"/>
        <v>3165992.0882808482</v>
      </c>
      <c r="U152" s="1"/>
      <c r="V152" s="1"/>
      <c r="W152" s="113">
        <f>+Q152*'CAP-1 WACC'!$F$10/12</f>
        <v>36281.261666155857</v>
      </c>
      <c r="Z152" s="44">
        <v>4002509.6914542946</v>
      </c>
      <c r="AA152" s="47">
        <f t="shared" si="32"/>
        <v>-987084.83908799337</v>
      </c>
    </row>
    <row r="153" spans="2:27" s="44" customFormat="1" ht="18" x14ac:dyDescent="0.4">
      <c r="B153" s="104">
        <v>49644</v>
      </c>
      <c r="C153" s="114"/>
      <c r="D153" s="114"/>
      <c r="E153" s="114"/>
      <c r="F153" s="114"/>
      <c r="G153" s="105">
        <f>+SUM($E$15:E153)+F153</f>
        <v>447363117.02395612</v>
      </c>
      <c r="H153" s="105">
        <f t="shared" si="24"/>
        <v>2124057.7601805599</v>
      </c>
      <c r="I153" s="105">
        <f t="shared" si="25"/>
        <v>734287.31999001512</v>
      </c>
      <c r="J153" s="105">
        <f>SUM($H$16:I153)</f>
        <v>422974456.28906381</v>
      </c>
      <c r="K153" s="105">
        <f>SUM($C$16:D153)-J153+F153</f>
        <v>24388660.73489213</v>
      </c>
      <c r="L153" s="105">
        <f t="shared" si="27"/>
        <v>0</v>
      </c>
      <c r="M153" s="105">
        <f t="shared" si="26"/>
        <v>2858345.0801705751</v>
      </c>
      <c r="N153" s="105">
        <f t="shared" si="33"/>
        <v>-803480.80203594873</v>
      </c>
      <c r="O153" s="109">
        <f t="shared" si="28"/>
        <v>7457226.7244322347</v>
      </c>
      <c r="P153" s="109">
        <f t="shared" si="29"/>
        <v>6653745.9223962855</v>
      </c>
      <c r="Q153" s="110">
        <f t="shared" si="30"/>
        <v>17734914.812495843</v>
      </c>
      <c r="R153" s="110">
        <f t="shared" ref="R153:R170" si="34">+Q153*F$6</f>
        <v>134933.14353173919</v>
      </c>
      <c r="S153" s="110">
        <f>+'CAP-2 Program Expenses'!F168</f>
        <v>0</v>
      </c>
      <c r="T153" s="110">
        <f t="shared" si="31"/>
        <v>2993278.2237023143</v>
      </c>
      <c r="U153" s="1"/>
      <c r="V153" s="1"/>
      <c r="W153" s="110">
        <f>+Q153*'CAP-1 WACC'!$F$10/12</f>
        <v>32514.01048957571</v>
      </c>
      <c r="Z153" s="44">
        <v>3794533.6899944763</v>
      </c>
      <c r="AA153" s="47">
        <f t="shared" si="32"/>
        <v>-936188.60982390121</v>
      </c>
    </row>
    <row r="154" spans="2:27" s="44" customFormat="1" ht="18" x14ac:dyDescent="0.4">
      <c r="B154" s="5">
        <v>49675</v>
      </c>
      <c r="C154" s="112"/>
      <c r="D154" s="112"/>
      <c r="E154" s="112"/>
      <c r="F154" s="112"/>
      <c r="G154" s="100">
        <f>+SUM($E$15:E154)+F154</f>
        <v>447363117.02395612</v>
      </c>
      <c r="H154" s="100">
        <f t="shared" si="24"/>
        <v>2007371.2352107421</v>
      </c>
      <c r="I154" s="100">
        <f t="shared" si="25"/>
        <v>693894.07276410691</v>
      </c>
      <c r="J154" s="100">
        <f>SUM($H$16:I154)</f>
        <v>425675721.59703863</v>
      </c>
      <c r="K154" s="100">
        <f>SUM($C$16:D154)-J154+F154</f>
        <v>21687395.426917315</v>
      </c>
      <c r="L154" s="100">
        <f t="shared" si="27"/>
        <v>0</v>
      </c>
      <c r="M154" s="100">
        <f t="shared" si="26"/>
        <v>2701265.3079748489</v>
      </c>
      <c r="N154" s="100">
        <f t="shared" si="33"/>
        <v>-759325.67807173007</v>
      </c>
      <c r="O154" s="38">
        <f t="shared" si="28"/>
        <v>6653745.9223962855</v>
      </c>
      <c r="P154" s="38">
        <f t="shared" si="29"/>
        <v>5894420.2443245556</v>
      </c>
      <c r="Q154" s="113">
        <f t="shared" si="30"/>
        <v>15792975.182592759</v>
      </c>
      <c r="R154" s="113">
        <f t="shared" si="34"/>
        <v>120158.21951422656</v>
      </c>
      <c r="S154" s="113">
        <f>+'CAP-2 Program Expenses'!F169</f>
        <v>0</v>
      </c>
      <c r="T154" s="113">
        <f t="shared" si="31"/>
        <v>2821423.5274890754</v>
      </c>
      <c r="U154" s="1"/>
      <c r="V154" s="1"/>
      <c r="W154" s="113">
        <f>+Q154*'CAP-1 WACC'!$F$10/12</f>
        <v>28953.787834753388</v>
      </c>
      <c r="Z154" s="44">
        <v>3586557.6885346579</v>
      </c>
      <c r="AA154" s="47">
        <f t="shared" si="32"/>
        <v>-885292.38055980904</v>
      </c>
    </row>
    <row r="155" spans="2:27" s="44" customFormat="1" ht="18" x14ac:dyDescent="0.4">
      <c r="B155" s="5">
        <v>49706</v>
      </c>
      <c r="C155" s="112"/>
      <c r="D155" s="112"/>
      <c r="E155" s="112"/>
      <c r="F155" s="112"/>
      <c r="G155" s="100">
        <f>+SUM($E$15:E155)+F155</f>
        <v>447363117.02395612</v>
      </c>
      <c r="H155" s="100">
        <f t="shared" si="24"/>
        <v>1890684.710240924</v>
      </c>
      <c r="I155" s="100">
        <f t="shared" si="25"/>
        <v>653500.8255381987</v>
      </c>
      <c r="J155" s="100">
        <f>SUM($H$16:I155)</f>
        <v>428219907.13281775</v>
      </c>
      <c r="K155" s="100">
        <f>SUM($C$16:D155)-J155+F155</f>
        <v>19143209.891138196</v>
      </c>
      <c r="L155" s="100">
        <f t="shared" si="27"/>
        <v>0</v>
      </c>
      <c r="M155" s="100">
        <f t="shared" si="26"/>
        <v>2544185.5357791227</v>
      </c>
      <c r="N155" s="100">
        <f t="shared" si="33"/>
        <v>-715170.55410751142</v>
      </c>
      <c r="O155" s="38">
        <f t="shared" si="28"/>
        <v>5894420.2443245556</v>
      </c>
      <c r="P155" s="38">
        <f t="shared" si="29"/>
        <v>5179249.6902170442</v>
      </c>
      <c r="Q155" s="113">
        <f t="shared" si="30"/>
        <v>13963960.200921152</v>
      </c>
      <c r="R155" s="113">
        <f t="shared" si="34"/>
        <v>106242.46386200842</v>
      </c>
      <c r="S155" s="113">
        <f>+'CAP-2 Program Expenses'!F170</f>
        <v>0</v>
      </c>
      <c r="T155" s="113">
        <f t="shared" si="31"/>
        <v>2650427.9996411311</v>
      </c>
      <c r="U155" s="1"/>
      <c r="V155" s="1"/>
      <c r="W155" s="113">
        <f>+Q155*'CAP-1 WACC'!$F$10/12</f>
        <v>25600.593701688776</v>
      </c>
      <c r="Z155" s="44">
        <v>3378581.6870748391</v>
      </c>
      <c r="AA155" s="47">
        <f t="shared" si="32"/>
        <v>-834396.15129571641</v>
      </c>
    </row>
    <row r="156" spans="2:27" s="44" customFormat="1" ht="18" x14ac:dyDescent="0.4">
      <c r="B156" s="104">
        <v>49735</v>
      </c>
      <c r="C156" s="114"/>
      <c r="D156" s="114"/>
      <c r="E156" s="114"/>
      <c r="F156" s="114"/>
      <c r="G156" s="105">
        <f>+SUM($E$15:E156)+F156</f>
        <v>447363117.02395612</v>
      </c>
      <c r="H156" s="105">
        <f t="shared" si="24"/>
        <v>1773998.1852711062</v>
      </c>
      <c r="I156" s="105">
        <f t="shared" si="25"/>
        <v>613107.57831229048</v>
      </c>
      <c r="J156" s="105">
        <f>SUM($H$16:I156)</f>
        <v>430607012.89640111</v>
      </c>
      <c r="K156" s="105">
        <f>SUM($C$16:D156)-J156+F156</f>
        <v>16756104.127554834</v>
      </c>
      <c r="L156" s="105">
        <f t="shared" si="27"/>
        <v>0</v>
      </c>
      <c r="M156" s="105">
        <f t="shared" si="26"/>
        <v>2387105.7635833966</v>
      </c>
      <c r="N156" s="105">
        <f t="shared" si="33"/>
        <v>-671015.43014329276</v>
      </c>
      <c r="O156" s="109">
        <f t="shared" si="28"/>
        <v>5179249.6902170442</v>
      </c>
      <c r="P156" s="109">
        <f t="shared" si="29"/>
        <v>4508234.2600737512</v>
      </c>
      <c r="Q156" s="110">
        <f t="shared" si="30"/>
        <v>12247869.867481083</v>
      </c>
      <c r="R156" s="110">
        <f t="shared" si="34"/>
        <v>93185.876575085233</v>
      </c>
      <c r="S156" s="110">
        <f>+'CAP-2 Program Expenses'!F171</f>
        <v>0</v>
      </c>
      <c r="T156" s="110">
        <f t="shared" si="31"/>
        <v>2480291.6401584819</v>
      </c>
      <c r="U156" s="1"/>
      <c r="V156" s="1"/>
      <c r="W156" s="110">
        <f>+Q156*'CAP-1 WACC'!$F$10/12</f>
        <v>22454.428090381985</v>
      </c>
      <c r="Z156" s="44">
        <v>3170605.6856150208</v>
      </c>
      <c r="AA156" s="47">
        <f t="shared" si="32"/>
        <v>-783499.92203162424</v>
      </c>
    </row>
    <row r="157" spans="2:27" s="44" customFormat="1" ht="18" x14ac:dyDescent="0.4">
      <c r="B157" s="5">
        <v>49766</v>
      </c>
      <c r="C157" s="112"/>
      <c r="D157" s="112"/>
      <c r="E157" s="112"/>
      <c r="F157" s="112"/>
      <c r="G157" s="100">
        <f>+SUM($E$15:E157)+F157</f>
        <v>447363117.02395612</v>
      </c>
      <c r="H157" s="100">
        <f t="shared" si="24"/>
        <v>1657311.6603012881</v>
      </c>
      <c r="I157" s="100">
        <f t="shared" si="25"/>
        <v>572714.33108638215</v>
      </c>
      <c r="J157" s="100">
        <f>SUM($H$16:I157)</f>
        <v>432837038.88778877</v>
      </c>
      <c r="K157" s="100">
        <f>SUM($C$16:D157)-J157+F157</f>
        <v>14526078.136167169</v>
      </c>
      <c r="L157" s="100">
        <f t="shared" si="27"/>
        <v>0</v>
      </c>
      <c r="M157" s="100">
        <f t="shared" si="26"/>
        <v>2230025.9913876704</v>
      </c>
      <c r="N157" s="100">
        <f t="shared" si="33"/>
        <v>-626860.30617907422</v>
      </c>
      <c r="O157" s="38">
        <f t="shared" si="28"/>
        <v>4508234.2600737512</v>
      </c>
      <c r="P157" s="38">
        <f t="shared" si="29"/>
        <v>3881373.9538946771</v>
      </c>
      <c r="Q157" s="113">
        <f t="shared" si="30"/>
        <v>10644704.182272492</v>
      </c>
      <c r="R157" s="113">
        <f t="shared" si="34"/>
        <v>80988.457653456528</v>
      </c>
      <c r="S157" s="113">
        <f>+'CAP-2 Program Expenses'!F172</f>
        <v>0</v>
      </c>
      <c r="T157" s="113">
        <f t="shared" si="31"/>
        <v>2311014.4490411268</v>
      </c>
      <c r="U157" s="1"/>
      <c r="V157" s="1"/>
      <c r="W157" s="113">
        <f>+Q157*'CAP-1 WACC'!$F$10/12</f>
        <v>19515.291000832902</v>
      </c>
      <c r="Z157" s="44">
        <v>2962629.684155202</v>
      </c>
      <c r="AA157" s="47">
        <f t="shared" si="32"/>
        <v>-732603.69276753161</v>
      </c>
    </row>
    <row r="158" spans="2:27" s="44" customFormat="1" ht="18" x14ac:dyDescent="0.4">
      <c r="B158" s="5">
        <v>49796</v>
      </c>
      <c r="C158" s="112"/>
      <c r="D158" s="112"/>
      <c r="E158" s="112"/>
      <c r="F158" s="112"/>
      <c r="G158" s="100">
        <f>+SUM($E$15:E158)+F158</f>
        <v>447363117.02395612</v>
      </c>
      <c r="H158" s="100">
        <f t="shared" si="24"/>
        <v>1540625.1353314703</v>
      </c>
      <c r="I158" s="100">
        <f t="shared" si="25"/>
        <v>532321.08386047394</v>
      </c>
      <c r="J158" s="100">
        <f>SUM($H$16:I158)</f>
        <v>434909985.10698068</v>
      </c>
      <c r="K158" s="100">
        <f>SUM($C$16:D158)-J158+F158</f>
        <v>12453131.91697526</v>
      </c>
      <c r="L158" s="100">
        <f t="shared" si="27"/>
        <v>0</v>
      </c>
      <c r="M158" s="100">
        <f t="shared" si="26"/>
        <v>2072946.2191919442</v>
      </c>
      <c r="N158" s="100">
        <f t="shared" si="33"/>
        <v>-582705.18221485557</v>
      </c>
      <c r="O158" s="38">
        <f t="shared" si="28"/>
        <v>3881373.9538946771</v>
      </c>
      <c r="P158" s="38">
        <f t="shared" si="29"/>
        <v>3298668.7716798214</v>
      </c>
      <c r="Q158" s="113">
        <f t="shared" si="30"/>
        <v>9154463.1452954374</v>
      </c>
      <c r="R158" s="113">
        <f t="shared" si="34"/>
        <v>69650.20709712278</v>
      </c>
      <c r="S158" s="113">
        <f>+'CAP-2 Program Expenses'!F173</f>
        <v>0</v>
      </c>
      <c r="T158" s="113">
        <f t="shared" si="31"/>
        <v>2142596.4262890671</v>
      </c>
      <c r="U158" s="1"/>
      <c r="V158" s="1"/>
      <c r="W158" s="113">
        <f>+Q158*'CAP-1 WACC'!$F$10/12</f>
        <v>16783.182433041635</v>
      </c>
      <c r="Z158" s="44">
        <v>2754653.6826953837</v>
      </c>
      <c r="AA158" s="47">
        <f t="shared" si="32"/>
        <v>-681707.46350343945</v>
      </c>
    </row>
    <row r="159" spans="2:27" s="44" customFormat="1" ht="18" x14ac:dyDescent="0.4">
      <c r="B159" s="104">
        <v>49827</v>
      </c>
      <c r="C159" s="114"/>
      <c r="D159" s="114"/>
      <c r="E159" s="114"/>
      <c r="F159" s="114"/>
      <c r="G159" s="105">
        <f>+SUM($E$15:E159)+F159</f>
        <v>447363117.02395612</v>
      </c>
      <c r="H159" s="105">
        <f t="shared" si="24"/>
        <v>1423938.6103616527</v>
      </c>
      <c r="I159" s="105">
        <f t="shared" si="25"/>
        <v>491927.83663456561</v>
      </c>
      <c r="J159" s="105">
        <f>SUM($H$16:I159)</f>
        <v>436825851.55397689</v>
      </c>
      <c r="K159" s="105">
        <f>SUM($C$16:D159)-J159+F159</f>
        <v>10537265.469979048</v>
      </c>
      <c r="L159" s="105">
        <f t="shared" si="27"/>
        <v>0</v>
      </c>
      <c r="M159" s="105">
        <f t="shared" si="26"/>
        <v>1915866.4469962183</v>
      </c>
      <c r="N159" s="105">
        <f t="shared" si="33"/>
        <v>-538550.05825063703</v>
      </c>
      <c r="O159" s="109">
        <f t="shared" si="28"/>
        <v>3298668.7716798214</v>
      </c>
      <c r="P159" s="109">
        <f t="shared" si="29"/>
        <v>2760118.7134291846</v>
      </c>
      <c r="Q159" s="110">
        <f t="shared" si="30"/>
        <v>7777146.7565498631</v>
      </c>
      <c r="R159" s="110">
        <f t="shared" si="34"/>
        <v>59171.124906083533</v>
      </c>
      <c r="S159" s="110">
        <f>+'CAP-2 Program Expenses'!F174</f>
        <v>0</v>
      </c>
      <c r="T159" s="110">
        <f t="shared" si="31"/>
        <v>1975037.5719023019</v>
      </c>
      <c r="U159" s="1"/>
      <c r="V159" s="1"/>
      <c r="W159" s="110">
        <f>+Q159*'CAP-1 WACC'!$F$10/12</f>
        <v>14258.102387008083</v>
      </c>
      <c r="Z159" s="44">
        <v>2546677.6812355649</v>
      </c>
      <c r="AA159" s="47">
        <f t="shared" si="32"/>
        <v>-630811.23423934658</v>
      </c>
    </row>
    <row r="160" spans="2:27" s="44" customFormat="1" ht="18" x14ac:dyDescent="0.4">
      <c r="B160" s="5">
        <v>49857</v>
      </c>
      <c r="C160" s="112"/>
      <c r="D160" s="112"/>
      <c r="E160" s="112"/>
      <c r="F160" s="112"/>
      <c r="G160" s="100">
        <f>+SUM($E$15:E160)+F160</f>
        <v>447363117.02395612</v>
      </c>
      <c r="H160" s="100">
        <f t="shared" si="24"/>
        <v>1305277.0594981813</v>
      </c>
      <c r="I160" s="100">
        <f t="shared" si="25"/>
        <v>450933.85024835181</v>
      </c>
      <c r="J160" s="100">
        <f>SUM($H$16:I160)</f>
        <v>438582062.46372342</v>
      </c>
      <c r="K160" s="100">
        <f>SUM($C$16:D160)-J160+F160</f>
        <v>8781054.5602325201</v>
      </c>
      <c r="L160" s="100">
        <f t="shared" si="27"/>
        <v>0</v>
      </c>
      <c r="M160" s="100">
        <f t="shared" si="26"/>
        <v>1756210.9097465333</v>
      </c>
      <c r="N160" s="100">
        <f t="shared" si="33"/>
        <v>-493670.88672975055</v>
      </c>
      <c r="O160" s="38">
        <f t="shared" si="28"/>
        <v>2760118.7134291846</v>
      </c>
      <c r="P160" s="38">
        <f t="shared" si="29"/>
        <v>2266447.8266994338</v>
      </c>
      <c r="Q160" s="113">
        <f t="shared" si="30"/>
        <v>6514606.7335330863</v>
      </c>
      <c r="R160" s="113">
        <f t="shared" si="34"/>
        <v>49565.299564297558</v>
      </c>
      <c r="S160" s="113">
        <f>+'CAP-2 Program Expenses'!F175</f>
        <v>0</v>
      </c>
      <c r="T160" s="113">
        <f t="shared" si="31"/>
        <v>1805776.2093108308</v>
      </c>
      <c r="U160" s="1"/>
      <c r="V160" s="1"/>
      <c r="W160" s="113">
        <f>+Q160*'CAP-1 WACC'!$F$10/12</f>
        <v>11943.445678143989</v>
      </c>
      <c r="Z160" s="44">
        <v>2334454.541132601</v>
      </c>
      <c r="AA160" s="47">
        <f t="shared" si="32"/>
        <v>-578243.63138606772</v>
      </c>
    </row>
    <row r="161" spans="2:27" s="44" customFormat="1" ht="18" x14ac:dyDescent="0.4">
      <c r="B161" s="5">
        <v>49888</v>
      </c>
      <c r="C161" s="112"/>
      <c r="D161" s="112"/>
      <c r="E161" s="112"/>
      <c r="F161" s="112"/>
      <c r="G161" s="100">
        <f>+SUM($E$15:E161)+F161</f>
        <v>447363117.02395612</v>
      </c>
      <c r="H161" s="100">
        <f t="shared" si="24"/>
        <v>1186615.5086347102</v>
      </c>
      <c r="I161" s="100">
        <f t="shared" si="25"/>
        <v>409939.86386213801</v>
      </c>
      <c r="J161" s="100">
        <f>SUM($H$16:I161)</f>
        <v>440178617.83622026</v>
      </c>
      <c r="K161" s="100">
        <f>SUM($C$16:D161)-J161+F161</f>
        <v>7184499.1877356768</v>
      </c>
      <c r="L161" s="100">
        <f t="shared" si="27"/>
        <v>0</v>
      </c>
      <c r="M161" s="100">
        <f t="shared" si="26"/>
        <v>1596555.3724968482</v>
      </c>
      <c r="N161" s="100">
        <f t="shared" si="33"/>
        <v>-448791.71520886407</v>
      </c>
      <c r="O161" s="38">
        <f t="shared" si="28"/>
        <v>2266447.8266994338</v>
      </c>
      <c r="P161" s="38">
        <f t="shared" si="29"/>
        <v>1817656.1114905698</v>
      </c>
      <c r="Q161" s="113">
        <f t="shared" si="30"/>
        <v>5366843.0762451068</v>
      </c>
      <c r="R161" s="113">
        <f t="shared" si="34"/>
        <v>40832.731071764851</v>
      </c>
      <c r="S161" s="113">
        <f>+'CAP-2 Program Expenses'!F176</f>
        <v>0</v>
      </c>
      <c r="T161" s="113">
        <f t="shared" si="31"/>
        <v>1637388.1035686131</v>
      </c>
      <c r="U161" s="1"/>
      <c r="V161" s="1"/>
      <c r="W161" s="113">
        <f>+Q161*'CAP-1 WACC'!$F$10/12</f>
        <v>9839.2123064493626</v>
      </c>
      <c r="Z161" s="44">
        <v>2122231.4010296371</v>
      </c>
      <c r="AA161" s="47">
        <f t="shared" si="32"/>
        <v>-525676.02853278886</v>
      </c>
    </row>
    <row r="162" spans="2:27" s="44" customFormat="1" ht="18" x14ac:dyDescent="0.4">
      <c r="B162" s="104">
        <v>49919</v>
      </c>
      <c r="C162" s="114"/>
      <c r="D162" s="114"/>
      <c r="E162" s="114"/>
      <c r="F162" s="114"/>
      <c r="G162" s="105">
        <f>+SUM($E$15:E162)+F162</f>
        <v>447363117.02395612</v>
      </c>
      <c r="H162" s="105">
        <f t="shared" si="24"/>
        <v>1067953.9577712393</v>
      </c>
      <c r="I162" s="105">
        <f t="shared" si="25"/>
        <v>368945.87747592421</v>
      </c>
      <c r="J162" s="105">
        <f>SUM($H$16:I162)</f>
        <v>441615517.67146742</v>
      </c>
      <c r="K162" s="105">
        <f>SUM($C$16:D162)-J162+F162</f>
        <v>5747599.3524885178</v>
      </c>
      <c r="L162" s="105">
        <f t="shared" si="27"/>
        <v>0</v>
      </c>
      <c r="M162" s="105">
        <f t="shared" si="26"/>
        <v>1436899.8352471637</v>
      </c>
      <c r="N162" s="105">
        <f t="shared" si="33"/>
        <v>-403912.54368797771</v>
      </c>
      <c r="O162" s="109">
        <f t="shared" si="28"/>
        <v>1817656.1114905698</v>
      </c>
      <c r="P162" s="109">
        <f t="shared" si="29"/>
        <v>1413743.5678025922</v>
      </c>
      <c r="Q162" s="110">
        <f t="shared" si="30"/>
        <v>4333855.7846859256</v>
      </c>
      <c r="R162" s="110">
        <f t="shared" si="34"/>
        <v>32973.419428485417</v>
      </c>
      <c r="S162" s="110">
        <f>+'CAP-2 Program Expenses'!F177</f>
        <v>0</v>
      </c>
      <c r="T162" s="110">
        <f t="shared" si="31"/>
        <v>1469873.2546756491</v>
      </c>
      <c r="U162" s="1"/>
      <c r="V162" s="1"/>
      <c r="W162" s="110">
        <f>+Q162*'CAP-1 WACC'!$F$10/12</f>
        <v>7945.4022719241957</v>
      </c>
      <c r="Z162" s="44">
        <v>1910008.2609266734</v>
      </c>
      <c r="AA162" s="47">
        <f t="shared" si="32"/>
        <v>-473108.42567950976</v>
      </c>
    </row>
    <row r="163" spans="2:27" s="44" customFormat="1" ht="18" x14ac:dyDescent="0.4">
      <c r="B163" s="5">
        <v>49949</v>
      </c>
      <c r="C163" s="112"/>
      <c r="D163" s="112"/>
      <c r="E163" s="112"/>
      <c r="F163" s="112"/>
      <c r="G163" s="100">
        <f>+SUM($E$15:E163)+F163</f>
        <v>447363117.02395612</v>
      </c>
      <c r="H163" s="100">
        <f t="shared" si="24"/>
        <v>949292.40690776822</v>
      </c>
      <c r="I163" s="100">
        <f t="shared" si="25"/>
        <v>327951.89108971035</v>
      </c>
      <c r="J163" s="100">
        <f>SUM($H$16:I163)</f>
        <v>442892761.96946496</v>
      </c>
      <c r="K163" s="100">
        <f>SUM($C$16:D163)-J163+F163</f>
        <v>4470355.0544909835</v>
      </c>
      <c r="L163" s="100">
        <f t="shared" si="27"/>
        <v>0</v>
      </c>
      <c r="M163" s="100">
        <f t="shared" si="26"/>
        <v>1277244.2979974786</v>
      </c>
      <c r="N163" s="100">
        <f t="shared" si="33"/>
        <v>-359033.37216709123</v>
      </c>
      <c r="O163" s="38">
        <f t="shared" si="28"/>
        <v>1413743.5678025922</v>
      </c>
      <c r="P163" s="38">
        <f t="shared" si="29"/>
        <v>1054710.1956355008</v>
      </c>
      <c r="Q163" s="113">
        <f>K163-P163</f>
        <v>3415644.8588554827</v>
      </c>
      <c r="R163" s="113">
        <f t="shared" si="34"/>
        <v>25987.364634458794</v>
      </c>
      <c r="S163" s="113">
        <f>+'CAP-2 Program Expenses'!F178</f>
        <v>0</v>
      </c>
      <c r="T163" s="113">
        <f t="shared" si="31"/>
        <v>1303231.6626319375</v>
      </c>
      <c r="U163" s="1"/>
      <c r="V163" s="1"/>
      <c r="W163" s="113">
        <f>+Q163*'CAP-1 WACC'!$F$10/12</f>
        <v>6262.0155745683842</v>
      </c>
      <c r="Z163" s="44">
        <v>1697785.1208237098</v>
      </c>
      <c r="AA163" s="47">
        <f t="shared" si="32"/>
        <v>-420540.82282623113</v>
      </c>
    </row>
    <row r="164" spans="2:27" s="44" customFormat="1" ht="18" x14ac:dyDescent="0.4">
      <c r="B164" s="5">
        <v>49980</v>
      </c>
      <c r="C164" s="112"/>
      <c r="D164" s="112"/>
      <c r="E164" s="112"/>
      <c r="F164" s="112"/>
      <c r="G164" s="100">
        <f>+SUM($E$15:E164)+F164</f>
        <v>447363117.02395612</v>
      </c>
      <c r="H164" s="100">
        <f t="shared" si="24"/>
        <v>830630.85604429722</v>
      </c>
      <c r="I164" s="100">
        <f t="shared" si="25"/>
        <v>286957.90470349655</v>
      </c>
      <c r="J164" s="100">
        <f>SUM($H$16:I164)</f>
        <v>444010350.73021275</v>
      </c>
      <c r="K164" s="100">
        <f>SUM($C$16:D164)-J164+F164</f>
        <v>3352766.2937431931</v>
      </c>
      <c r="L164" s="100">
        <f t="shared" si="27"/>
        <v>0</v>
      </c>
      <c r="M164" s="100">
        <f t="shared" si="26"/>
        <v>1117588.7607477938</v>
      </c>
      <c r="N164" s="100">
        <f t="shared" si="33"/>
        <v>-314154.20064620487</v>
      </c>
      <c r="O164" s="38">
        <f t="shared" si="28"/>
        <v>1054710.1956355008</v>
      </c>
      <c r="P164" s="38">
        <f t="shared" si="29"/>
        <v>740555.99498929596</v>
      </c>
      <c r="Q164" s="113">
        <f t="shared" si="30"/>
        <v>2612210.2987538972</v>
      </c>
      <c r="R164" s="113">
        <f t="shared" si="34"/>
        <v>19874.5666896859</v>
      </c>
      <c r="S164" s="113">
        <f>+'CAP-2 Program Expenses'!F179</f>
        <v>0</v>
      </c>
      <c r="T164" s="113">
        <f t="shared" si="31"/>
        <v>1137463.3274374797</v>
      </c>
      <c r="U164" s="1"/>
      <c r="V164" s="1"/>
      <c r="W164" s="113">
        <f>+Q164*'CAP-1 WACC'!$F$10/12</f>
        <v>4789.0522143821445</v>
      </c>
      <c r="Z164" s="44">
        <v>1485561.9807207461</v>
      </c>
      <c r="AA164" s="47">
        <f t="shared" si="32"/>
        <v>-367973.21997295227</v>
      </c>
    </row>
    <row r="165" spans="2:27" s="44" customFormat="1" ht="18" x14ac:dyDescent="0.4">
      <c r="B165" s="104">
        <v>50010</v>
      </c>
      <c r="C165" s="114"/>
      <c r="D165" s="114"/>
      <c r="E165" s="114"/>
      <c r="F165" s="114"/>
      <c r="G165" s="105">
        <f>+SUM($E$15:E165)+F165</f>
        <v>447363117.02395612</v>
      </c>
      <c r="H165" s="105">
        <f t="shared" si="24"/>
        <v>711969.30518082611</v>
      </c>
      <c r="I165" s="105">
        <f t="shared" si="25"/>
        <v>245963.91831728275</v>
      </c>
      <c r="J165" s="105">
        <f>SUM($H$16:I165)</f>
        <v>444968283.95371085</v>
      </c>
      <c r="K165" s="105">
        <f>SUM($C$16:D165)-J165+F165</f>
        <v>2394833.0702450871</v>
      </c>
      <c r="L165" s="105">
        <f t="shared" si="27"/>
        <v>0</v>
      </c>
      <c r="M165" s="105">
        <f t="shared" si="26"/>
        <v>957933.2234981088</v>
      </c>
      <c r="N165" s="105">
        <f t="shared" si="33"/>
        <v>-269275.0291253184</v>
      </c>
      <c r="O165" s="109">
        <f t="shared" si="28"/>
        <v>740555.99498929596</v>
      </c>
      <c r="P165" s="109">
        <f t="shared" si="29"/>
        <v>471280.96586397756</v>
      </c>
      <c r="Q165" s="110">
        <f t="shared" si="30"/>
        <v>1923552.1043811096</v>
      </c>
      <c r="R165" s="110">
        <f t="shared" si="34"/>
        <v>14635.025594166274</v>
      </c>
      <c r="S165" s="110">
        <f>+'CAP-2 Program Expenses'!F180</f>
        <v>0</v>
      </c>
      <c r="T165" s="110">
        <f t="shared" si="31"/>
        <v>972568.24909227504</v>
      </c>
      <c r="U165" s="1"/>
      <c r="V165" s="1"/>
      <c r="W165" s="110">
        <f>+Q165*'CAP-1 WACC'!$F$10/12</f>
        <v>3526.5121913653675</v>
      </c>
      <c r="Z165" s="44">
        <v>1273338.8406177824</v>
      </c>
      <c r="AA165" s="47">
        <f t="shared" si="32"/>
        <v>-315405.61711967364</v>
      </c>
    </row>
    <row r="166" spans="2:27" s="44" customFormat="1" ht="18" x14ac:dyDescent="0.4">
      <c r="B166" s="5">
        <v>50041</v>
      </c>
      <c r="C166" s="112"/>
      <c r="D166" s="112"/>
      <c r="E166" s="112"/>
      <c r="F166" s="112"/>
      <c r="G166" s="100">
        <f>+SUM($E$15:E166)+F166</f>
        <v>447363117.02395612</v>
      </c>
      <c r="H166" s="100">
        <f t="shared" si="24"/>
        <v>593307.75431735511</v>
      </c>
      <c r="I166" s="100">
        <f t="shared" si="25"/>
        <v>204969.93193106895</v>
      </c>
      <c r="J166" s="100">
        <f>SUM($H$16:I166)</f>
        <v>445766561.63995928</v>
      </c>
      <c r="K166" s="100">
        <f>SUM($C$16:D166)-J166+F166</f>
        <v>1596555.3839966655</v>
      </c>
      <c r="L166" s="100">
        <f t="shared" si="27"/>
        <v>0</v>
      </c>
      <c r="M166" s="100">
        <f>H166+I166+F166</f>
        <v>798277.686248424</v>
      </c>
      <c r="N166" s="100">
        <f t="shared" si="33"/>
        <v>-224395.85760443201</v>
      </c>
      <c r="O166" s="38">
        <f t="shared" si="28"/>
        <v>471280.96586397756</v>
      </c>
      <c r="P166" s="38">
        <f t="shared" si="29"/>
        <v>246885.10825954555</v>
      </c>
      <c r="Q166" s="113">
        <f>K166-P166</f>
        <v>1349670.2757371198</v>
      </c>
      <c r="R166" s="113">
        <f t="shared" si="34"/>
        <v>10268.741347899919</v>
      </c>
      <c r="S166" s="113">
        <f>+'CAP-2 Program Expenses'!F181</f>
        <v>0</v>
      </c>
      <c r="T166" s="113">
        <f t="shared" si="31"/>
        <v>808546.42759632389</v>
      </c>
      <c r="U166" s="1"/>
      <c r="V166" s="1"/>
      <c r="W166" s="113">
        <f>+Q166*'CAP-1 WACC'!$F$10/12</f>
        <v>2474.3955055180527</v>
      </c>
      <c r="Z166" s="44">
        <v>1061115.7005148188</v>
      </c>
      <c r="AA166" s="47">
        <f t="shared" si="32"/>
        <v>-262838.01426639478</v>
      </c>
    </row>
    <row r="167" spans="2:27" s="44" customFormat="1" ht="18" x14ac:dyDescent="0.4">
      <c r="B167" s="5">
        <v>50072</v>
      </c>
      <c r="C167" s="112"/>
      <c r="D167" s="112"/>
      <c r="E167" s="112"/>
      <c r="F167" s="112"/>
      <c r="G167" s="100">
        <f>+SUM($E$15:E167)+F167</f>
        <v>447363117.02395612</v>
      </c>
      <c r="H167" s="100">
        <f t="shared" si="24"/>
        <v>474646.20345388411</v>
      </c>
      <c r="I167" s="100">
        <f t="shared" si="25"/>
        <v>163975.94554485517</v>
      </c>
      <c r="J167" s="100">
        <f>SUM($H$16:I167)</f>
        <v>446405183.78895801</v>
      </c>
      <c r="K167" s="100">
        <f>SUM($C$16:D167)-J167+F167</f>
        <v>957933.23499792814</v>
      </c>
      <c r="L167" s="100">
        <f t="shared" si="27"/>
        <v>0</v>
      </c>
      <c r="M167" s="100">
        <f t="shared" si="26"/>
        <v>638622.14899873931</v>
      </c>
      <c r="N167" s="100">
        <f t="shared" si="33"/>
        <v>-179516.68608354562</v>
      </c>
      <c r="O167" s="38">
        <f t="shared" si="28"/>
        <v>246885.10825954555</v>
      </c>
      <c r="P167" s="38">
        <f t="shared" si="29"/>
        <v>67368.422175999935</v>
      </c>
      <c r="Q167" s="113">
        <f t="shared" si="30"/>
        <v>890564.81282192818</v>
      </c>
      <c r="R167" s="113">
        <f t="shared" si="34"/>
        <v>6775.7139508868358</v>
      </c>
      <c r="S167" s="113">
        <f>+'CAP-2 Program Expenses'!F182</f>
        <v>0</v>
      </c>
      <c r="T167" s="113">
        <f t="shared" si="31"/>
        <v>645397.86294962617</v>
      </c>
      <c r="U167" s="1"/>
      <c r="V167" s="1"/>
      <c r="W167" s="113">
        <f>+Q167*'CAP-1 WACC'!$F$10/12</f>
        <v>1632.7021568402015</v>
      </c>
      <c r="Z167" s="44">
        <v>848892.560411855</v>
      </c>
      <c r="AA167" s="47">
        <f t="shared" si="32"/>
        <v>-210270.41141311568</v>
      </c>
    </row>
    <row r="168" spans="2:27" s="44" customFormat="1" ht="18" x14ac:dyDescent="0.4">
      <c r="B168" s="104">
        <v>50100</v>
      </c>
      <c r="C168" s="114"/>
      <c r="D168" s="114"/>
      <c r="E168" s="114"/>
      <c r="F168" s="114"/>
      <c r="G168" s="105">
        <f>+SUM($E$15:E168)+F168</f>
        <v>447363117.02395612</v>
      </c>
      <c r="H168" s="105">
        <f t="shared" si="24"/>
        <v>355984.65259041305</v>
      </c>
      <c r="I168" s="105">
        <f t="shared" si="25"/>
        <v>122981.95915864137</v>
      </c>
      <c r="J168" s="105">
        <f>SUM($H$16:I168)</f>
        <v>446884150.40070707</v>
      </c>
      <c r="K168" s="105">
        <f>SUM($C$16:D168)-J168+F168</f>
        <v>478966.62324887514</v>
      </c>
      <c r="L168" s="105">
        <f t="shared" si="27"/>
        <v>0</v>
      </c>
      <c r="M168" s="105">
        <f t="shared" si="26"/>
        <v>478966.6117490544</v>
      </c>
      <c r="N168" s="105">
        <f t="shared" si="33"/>
        <v>-134637.5145626592</v>
      </c>
      <c r="O168" s="109">
        <f t="shared" si="28"/>
        <v>67368.422175999935</v>
      </c>
      <c r="P168" s="109">
        <f>+P167+N168</f>
        <v>-67269.092386659264</v>
      </c>
      <c r="Q168" s="110">
        <f t="shared" si="30"/>
        <v>546235.71563553438</v>
      </c>
      <c r="R168" s="110">
        <f t="shared" si="34"/>
        <v>4155.9434031270239</v>
      </c>
      <c r="S168" s="110">
        <f>+'CAP-2 Program Expenses'!F183</f>
        <v>0</v>
      </c>
      <c r="T168" s="110">
        <f t="shared" si="31"/>
        <v>483122.55515218142</v>
      </c>
      <c r="U168" s="1"/>
      <c r="V168" s="1"/>
      <c r="W168" s="110">
        <f>+Q168*'CAP-1 WACC'!$F$10/12</f>
        <v>1001.432145331813</v>
      </c>
      <c r="Z168" s="44">
        <v>636669.42030889122</v>
      </c>
      <c r="AA168" s="47">
        <f t="shared" si="32"/>
        <v>-157702.80855983682</v>
      </c>
    </row>
    <row r="169" spans="2:27" s="44" customFormat="1" ht="18" x14ac:dyDescent="0.4">
      <c r="B169" s="5">
        <v>50131</v>
      </c>
      <c r="C169" s="112"/>
      <c r="D169" s="112"/>
      <c r="E169" s="112"/>
      <c r="F169" s="112"/>
      <c r="G169" s="100">
        <f>+SUM($E$15:E169)+F169</f>
        <v>447363117.02395612</v>
      </c>
      <c r="H169" s="100">
        <f t="shared" si="24"/>
        <v>237323.10172694206</v>
      </c>
      <c r="I169" s="100">
        <f t="shared" si="25"/>
        <v>81987.972772427587</v>
      </c>
      <c r="J169" s="100">
        <f>SUM($H$16:I169)</f>
        <v>447203461.47520643</v>
      </c>
      <c r="K169" s="100">
        <f>SUM($C$16:D169)-J169+F169</f>
        <v>159655.54874950647</v>
      </c>
      <c r="L169" s="100">
        <f t="shared" si="27"/>
        <v>0</v>
      </c>
      <c r="M169" s="100">
        <f t="shared" si="26"/>
        <v>319311.07449936966</v>
      </c>
      <c r="N169" s="100">
        <f t="shared" si="33"/>
        <v>-89758.343041772809</v>
      </c>
      <c r="O169" s="38">
        <f>+O168+N168</f>
        <v>-67269.092386659264</v>
      </c>
      <c r="P169" s="38">
        <f>+P168+N169</f>
        <v>-157027.43542843207</v>
      </c>
      <c r="Q169" s="113">
        <f>K169-P169</f>
        <v>316682.98417793855</v>
      </c>
      <c r="R169" s="113">
        <f t="shared" si="34"/>
        <v>2409.429704620482</v>
      </c>
      <c r="S169" s="113">
        <f>+'CAP-2 Program Expenses'!F184</f>
        <v>0</v>
      </c>
      <c r="T169" s="113">
        <f t="shared" si="31"/>
        <v>321720.50420399016</v>
      </c>
      <c r="U169" s="1"/>
      <c r="V169" s="1"/>
      <c r="W169" s="113">
        <f>+Q169*'CAP-1 WACC'!$F$10/12</f>
        <v>580.58547099288728</v>
      </c>
      <c r="Z169" s="44">
        <v>424446.2802059275</v>
      </c>
      <c r="AA169" s="47">
        <f t="shared" si="32"/>
        <v>-105135.20570655784</v>
      </c>
    </row>
    <row r="170" spans="2:27" s="44" customFormat="1" ht="18" x14ac:dyDescent="0.4">
      <c r="B170" s="5">
        <v>50161</v>
      </c>
      <c r="C170" s="112"/>
      <c r="D170" s="112"/>
      <c r="E170" s="112"/>
      <c r="F170" s="112"/>
      <c r="G170" s="100">
        <f>+SUM($E$15:E170)+F170</f>
        <v>447363117.02395612</v>
      </c>
      <c r="H170" s="100">
        <f t="shared" si="24"/>
        <v>118661.55086347103</v>
      </c>
      <c r="I170" s="100">
        <f t="shared" si="25"/>
        <v>40993.986386213794</v>
      </c>
      <c r="J170" s="100">
        <f>SUM($H$16:I170)</f>
        <v>447363117.01245612</v>
      </c>
      <c r="K170" s="100">
        <f>SUM($C$16:D170)-J170+F170</f>
        <v>1.149982213973999E-2</v>
      </c>
      <c r="L170" s="100">
        <f t="shared" si="27"/>
        <v>0</v>
      </c>
      <c r="M170" s="100">
        <f t="shared" si="26"/>
        <v>159655.53724968483</v>
      </c>
      <c r="N170" s="100">
        <f t="shared" si="33"/>
        <v>-44879.171520886404</v>
      </c>
      <c r="O170" s="38">
        <f t="shared" si="28"/>
        <v>-157027.43542843207</v>
      </c>
      <c r="P170" s="38">
        <f t="shared" si="29"/>
        <v>-201906.60694931849</v>
      </c>
      <c r="Q170" s="113">
        <f t="shared" si="30"/>
        <v>201906.61844914063</v>
      </c>
      <c r="R170" s="113">
        <f t="shared" si="34"/>
        <v>1536.1728553672115</v>
      </c>
      <c r="S170" s="113">
        <f>+'CAP-2 Program Expenses'!F185</f>
        <v>0</v>
      </c>
      <c r="T170" s="113">
        <f t="shared" si="31"/>
        <v>161191.71010505204</v>
      </c>
      <c r="U170" s="1"/>
      <c r="V170" s="1"/>
      <c r="W170" s="113">
        <f>+Q170*'CAP-1 WACC'!$F$10/12</f>
        <v>370.16213382342448</v>
      </c>
      <c r="Z170" s="44">
        <v>212223.14010296375</v>
      </c>
      <c r="AA170" s="47">
        <f t="shared" si="32"/>
        <v>-52567.602853278921</v>
      </c>
    </row>
    <row r="171" spans="2:27" s="44" customFormat="1" ht="18" x14ac:dyDescent="0.4">
      <c r="B171" s="5"/>
      <c r="C171" s="112"/>
      <c r="D171" s="241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00"/>
      <c r="P171" s="100"/>
      <c r="Q171" s="103"/>
      <c r="R171" s="103"/>
      <c r="S171" s="115"/>
      <c r="T171" s="115"/>
      <c r="U171" s="1"/>
      <c r="V171" s="1"/>
      <c r="W171" s="115"/>
    </row>
    <row r="172" spans="2:27" s="44" customFormat="1" ht="15.75" x14ac:dyDescent="0.25">
      <c r="B172" s="72" t="s">
        <v>15</v>
      </c>
      <c r="C172" s="99">
        <f>SUM(C16:C170)</f>
        <v>354401448.95804536</v>
      </c>
      <c r="D172" s="157">
        <f>SUM(D16:D170)</f>
        <v>92961668.065910816</v>
      </c>
      <c r="E172" s="99">
        <f>SUM(E16:E170)</f>
        <v>447363117.02395612</v>
      </c>
      <c r="F172" s="99">
        <f>SUM(F16:F170)</f>
        <v>5265560790.0385084</v>
      </c>
      <c r="G172" s="99"/>
      <c r="H172" s="99">
        <f>SUM(H16:H170)</f>
        <v>354401448.94654548</v>
      </c>
      <c r="I172" s="99">
        <f>SUM(I16:I170)</f>
        <v>92961668.065910861</v>
      </c>
      <c r="J172" s="99"/>
      <c r="K172" s="99"/>
      <c r="L172" s="99">
        <f>SUM(L16:L170)</f>
        <v>5712205633.8138618</v>
      </c>
      <c r="M172" s="99">
        <f>SUM(M16:M170)</f>
        <v>5712923907.0509653</v>
      </c>
      <c r="N172" s="99">
        <f>SUM(N16:N170)</f>
        <v>-201906.60694931849</v>
      </c>
      <c r="O172" s="99"/>
      <c r="P172" s="99"/>
      <c r="Q172" s="99"/>
      <c r="R172" s="99">
        <f>SUM(R16:R170)</f>
        <v>185880705.62471336</v>
      </c>
      <c r="S172" s="99">
        <f>SUM(S16:S170)</f>
        <v>63803585.202367261</v>
      </c>
      <c r="T172" s="99">
        <f>SUM(T16:T170)</f>
        <v>697047407.83953726</v>
      </c>
      <c r="U172" s="1"/>
      <c r="V172" s="1"/>
      <c r="W172" s="99">
        <f>SUM(W16:W170)</f>
        <v>44790531.475834563</v>
      </c>
    </row>
    <row r="173" spans="2:27" s="44" customFormat="1" ht="15.7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 s="1"/>
      <c r="Q173" s="1"/>
      <c r="R173" s="1"/>
      <c r="S173" s="1"/>
      <c r="T173" s="1"/>
      <c r="U173" s="1"/>
      <c r="V173" s="2"/>
      <c r="W173" s="2"/>
    </row>
    <row r="174" spans="2:27" s="44" customFormat="1" ht="15.7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 s="1"/>
      <c r="Q174" s="1"/>
      <c r="R174" s="1"/>
      <c r="S174" s="1"/>
      <c r="T174" s="1"/>
      <c r="U174" s="1"/>
      <c r="V174" s="2"/>
      <c r="W174" s="2"/>
    </row>
    <row r="175" spans="2:27" s="44" customFormat="1" ht="15.75" x14ac:dyDescent="0.25">
      <c r="B175"/>
      <c r="C175"/>
      <c r="D175"/>
      <c r="E175">
        <v>2024</v>
      </c>
      <c r="F175" s="157">
        <f>SUM(F16:F21)</f>
        <v>0</v>
      </c>
      <c r="G175" s="157"/>
      <c r="H175" s="157">
        <f t="shared" ref="H175:H181" si="35">F175-G175</f>
        <v>0</v>
      </c>
      <c r="I175"/>
      <c r="J175"/>
      <c r="K175"/>
      <c r="L175"/>
      <c r="M175"/>
      <c r="N175"/>
      <c r="O175"/>
      <c r="P175" s="1"/>
      <c r="Q175" s="1"/>
      <c r="R175" s="1"/>
      <c r="S175" s="1"/>
      <c r="T175" s="1"/>
      <c r="U175" s="1"/>
      <c r="V175" s="2"/>
      <c r="W175" s="2"/>
    </row>
    <row r="176" spans="2:27" s="44" customFormat="1" ht="15.75" x14ac:dyDescent="0.25">
      <c r="B176"/>
      <c r="C176"/>
      <c r="D176"/>
      <c r="E176">
        <v>2025</v>
      </c>
      <c r="F176" s="157">
        <f>SUM(F22:F33)</f>
        <v>77717683.272563607</v>
      </c>
      <c r="G176" s="157">
        <f>'Financing Unamortized Balance'!S54</f>
        <v>29937761.262563609</v>
      </c>
      <c r="H176" s="157">
        <f t="shared" si="35"/>
        <v>47779922.009999998</v>
      </c>
      <c r="I176"/>
      <c r="J176"/>
      <c r="K176"/>
      <c r="L176"/>
      <c r="M176"/>
      <c r="N176"/>
      <c r="O176"/>
      <c r="P176" s="1"/>
      <c r="Q176" s="1"/>
      <c r="R176" s="1"/>
      <c r="S176" s="102"/>
      <c r="T176" s="1"/>
      <c r="U176" s="1"/>
      <c r="V176" s="2"/>
      <c r="W176" s="2"/>
    </row>
    <row r="177" spans="2:23" s="44" customFormat="1" ht="15.75" x14ac:dyDescent="0.25">
      <c r="B177"/>
      <c r="C177"/>
      <c r="D177"/>
      <c r="E177">
        <v>2026</v>
      </c>
      <c r="F177" s="157">
        <f>SUM(F34:F45)</f>
        <v>752515406.08811855</v>
      </c>
      <c r="G177" s="157">
        <f>'Financing Unamortized Balance'!AE54</f>
        <v>88256126.69287762</v>
      </c>
      <c r="H177" s="157">
        <f t="shared" si="35"/>
        <v>664259279.3952409</v>
      </c>
      <c r="I177"/>
      <c r="J177"/>
      <c r="K177"/>
      <c r="L177"/>
      <c r="M177"/>
      <c r="N177"/>
      <c r="O177"/>
      <c r="P177" s="1"/>
      <c r="Q177" s="1"/>
      <c r="R177" s="1"/>
      <c r="S177" s="1"/>
      <c r="T177" s="1"/>
      <c r="U177" s="1"/>
      <c r="V177" s="2"/>
      <c r="W177" s="2"/>
    </row>
    <row r="178" spans="2:23" s="44" customFormat="1" ht="15.75" x14ac:dyDescent="0.25">
      <c r="B178"/>
      <c r="C178"/>
      <c r="D178"/>
      <c r="E178">
        <v>2027</v>
      </c>
      <c r="F178" s="157">
        <f>SUM(F46:F57)</f>
        <v>1364365131.1498666</v>
      </c>
      <c r="G178" s="157">
        <f>'Financing Unamortized Balance'!AQ54</f>
        <v>133015869.30140594</v>
      </c>
      <c r="H178" s="157">
        <f t="shared" si="35"/>
        <v>1231349261.8484607</v>
      </c>
      <c r="I178"/>
      <c r="J178"/>
      <c r="K178"/>
      <c r="L178"/>
      <c r="M178"/>
      <c r="N178"/>
      <c r="O178"/>
      <c r="P178" s="1"/>
      <c r="Q178" s="1"/>
      <c r="R178" s="1"/>
      <c r="S178" s="1"/>
      <c r="T178" s="1"/>
      <c r="U178" s="1"/>
      <c r="V178" s="2"/>
      <c r="W178" s="2"/>
    </row>
    <row r="179" spans="2:23" s="44" customFormat="1" ht="15.75" x14ac:dyDescent="0.25">
      <c r="B179"/>
      <c r="C179"/>
      <c r="D179"/>
      <c r="E179">
        <v>2028</v>
      </c>
      <c r="F179" s="157">
        <f>SUM(F58:F69)</f>
        <v>1366496006.9286261</v>
      </c>
      <c r="G179" s="157">
        <f>'Financing Unamortized Balance'!BC54</f>
        <v>97678265.503214389</v>
      </c>
      <c r="H179" s="157">
        <f t="shared" si="35"/>
        <v>1268817741.4254117</v>
      </c>
      <c r="I179"/>
      <c r="J179"/>
      <c r="K179"/>
      <c r="L179"/>
      <c r="M179"/>
      <c r="N179"/>
      <c r="O179"/>
      <c r="P179" s="1"/>
      <c r="Q179" s="1"/>
      <c r="R179" s="1"/>
      <c r="S179" s="1"/>
      <c r="T179" s="1"/>
      <c r="U179" s="1"/>
      <c r="V179" s="2"/>
      <c r="W179" s="2"/>
    </row>
    <row r="180" spans="2:23" s="44" customFormat="1" ht="15.75" x14ac:dyDescent="0.25">
      <c r="E180">
        <v>2029</v>
      </c>
      <c r="F180" s="157">
        <f>SUM(F70:F81)</f>
        <v>942444761.35032761</v>
      </c>
      <c r="G180" s="157">
        <f>'Financing Unamortized Balance'!BO54</f>
        <v>62340661.705022834</v>
      </c>
      <c r="H180" s="157">
        <f t="shared" si="35"/>
        <v>880104099.6453048</v>
      </c>
      <c r="P180" s="46"/>
      <c r="Q180" s="46"/>
      <c r="R180" s="46"/>
      <c r="S180" s="46"/>
      <c r="T180" s="46"/>
      <c r="U180" s="46"/>
      <c r="V180" s="24"/>
      <c r="W180" s="24"/>
    </row>
    <row r="181" spans="2:23" s="44" customFormat="1" ht="15.75" x14ac:dyDescent="0.25">
      <c r="E181">
        <v>2030</v>
      </c>
      <c r="F181" s="157">
        <f>SUM(F82:F93)</f>
        <v>531485564.27522945</v>
      </c>
      <c r="G181" s="157">
        <f>'Financing Unamortized Balance'!CA54</f>
        <v>30024299.869108349</v>
      </c>
      <c r="H181" s="157">
        <f t="shared" si="35"/>
        <v>501461264.40612113</v>
      </c>
      <c r="P181" s="46"/>
      <c r="Q181" s="46"/>
      <c r="R181" s="46"/>
      <c r="S181" s="46"/>
      <c r="T181" s="46"/>
      <c r="U181" s="46"/>
      <c r="V181" s="24"/>
      <c r="W181" s="24"/>
    </row>
    <row r="182" spans="2:23" s="44" customFormat="1" ht="15.75" x14ac:dyDescent="0.25">
      <c r="E182">
        <v>2031</v>
      </c>
      <c r="F182" s="157">
        <f>SUM(F94:F105)</f>
        <v>201829669.21397594</v>
      </c>
      <c r="G182" s="157">
        <f>'Financing Unamortized Balance'!CM54</f>
        <v>7829063.9344913885</v>
      </c>
      <c r="H182" s="157">
        <f>F182-G182</f>
        <v>194000605.27948454</v>
      </c>
      <c r="P182" s="46"/>
      <c r="Q182" s="46"/>
      <c r="R182" s="46"/>
      <c r="S182" s="46"/>
      <c r="T182" s="46"/>
      <c r="U182" s="46"/>
      <c r="V182" s="24"/>
      <c r="W182" s="24"/>
    </row>
    <row r="183" spans="2:23" s="44" customFormat="1" ht="15.75" x14ac:dyDescent="0.25">
      <c r="E183">
        <v>2032</v>
      </c>
      <c r="F183" s="157">
        <f>SUM(F106:F116)</f>
        <v>28706567.759801544</v>
      </c>
      <c r="G183" s="157">
        <f>'Financing Unamortized Balance'!CX54</f>
        <v>100372.61454473298</v>
      </c>
      <c r="H183" s="157">
        <f>F183-G183</f>
        <v>28606195.14525681</v>
      </c>
      <c r="P183" s="46"/>
      <c r="Q183" s="46"/>
      <c r="R183" s="46"/>
      <c r="S183" s="46"/>
      <c r="T183" s="46"/>
      <c r="U183" s="46"/>
      <c r="V183" s="24"/>
      <c r="W183" s="24"/>
    </row>
    <row r="184" spans="2:23" s="44" customFormat="1" ht="15.75" x14ac:dyDescent="0.25">
      <c r="F184" s="66"/>
      <c r="G184" s="66"/>
      <c r="H184" s="66"/>
      <c r="P184" s="46"/>
      <c r="Q184" s="46"/>
      <c r="R184" s="46" t="s">
        <v>41</v>
      </c>
      <c r="S184" s="46"/>
      <c r="T184" s="46"/>
      <c r="U184" s="46"/>
      <c r="V184" s="24"/>
      <c r="W184" s="24"/>
    </row>
    <row r="185" spans="2:23" s="44" customFormat="1" ht="15.75" x14ac:dyDescent="0.25">
      <c r="B185" s="44">
        <v>2025</v>
      </c>
      <c r="F185" s="66"/>
      <c r="G185" s="66"/>
      <c r="H185" s="139">
        <f>SUM(H22:I33)</f>
        <v>3841180.0950290593</v>
      </c>
      <c r="P185" s="46"/>
      <c r="Q185" s="46">
        <v>2025</v>
      </c>
      <c r="R185" s="231">
        <f>SUM(R22:R33)</f>
        <v>3056710.9708858095</v>
      </c>
      <c r="S185" s="231">
        <f>SUM(S22:S33)</f>
        <v>10645678.37222003</v>
      </c>
      <c r="T185" s="46"/>
      <c r="U185" s="46"/>
      <c r="V185" s="24"/>
      <c r="W185" s="24"/>
    </row>
    <row r="186" spans="2:23" s="44" customFormat="1" ht="15.75" x14ac:dyDescent="0.25">
      <c r="B186" s="44">
        <v>2026</v>
      </c>
      <c r="P186" s="46"/>
      <c r="Q186" s="46">
        <v>2026</v>
      </c>
      <c r="R186" s="61">
        <f>SUM(R34:R45)</f>
        <v>19734303.858541373</v>
      </c>
      <c r="S186" s="61">
        <f>SUM(S34:S45)</f>
        <v>13344495.39292774</v>
      </c>
      <c r="T186" s="46"/>
      <c r="U186" s="46"/>
      <c r="V186" s="24"/>
      <c r="W186" s="24"/>
    </row>
    <row r="187" spans="2:23" s="44" customFormat="1" ht="15.75" x14ac:dyDescent="0.25">
      <c r="B187" s="44">
        <v>2027</v>
      </c>
      <c r="P187" s="46"/>
      <c r="Q187" s="46">
        <v>2027</v>
      </c>
      <c r="R187" s="61">
        <f>SUM(R46:R57)</f>
        <v>34994444.567629397</v>
      </c>
      <c r="S187" s="61">
        <f>SUM(S46:S51)</f>
        <v>6721000.2796075614</v>
      </c>
      <c r="T187" s="46"/>
      <c r="U187" s="46"/>
      <c r="V187" s="24"/>
      <c r="W187" s="24"/>
    </row>
    <row r="188" spans="2:23" s="44" customFormat="1" ht="15.75" x14ac:dyDescent="0.25">
      <c r="P188" s="46"/>
      <c r="Q188" s="46"/>
      <c r="R188" s="231">
        <f>SUM(R185:R187)</f>
        <v>57785459.39705658</v>
      </c>
      <c r="S188" s="231">
        <f>SUM(S185:S187)</f>
        <v>30711174.044755328</v>
      </c>
      <c r="T188" s="46"/>
      <c r="U188" s="46"/>
      <c r="V188" s="24"/>
      <c r="W188" s="24"/>
    </row>
    <row r="189" spans="2:23" s="44" customFormat="1" ht="15.75" x14ac:dyDescent="0.25">
      <c r="P189" s="46"/>
      <c r="Q189" s="46"/>
      <c r="R189" s="231">
        <f>SUM(R22:R57)</f>
        <v>57785459.39705658</v>
      </c>
      <c r="S189" s="46"/>
      <c r="T189" s="46"/>
      <c r="U189" s="46"/>
      <c r="V189" s="24"/>
      <c r="W189" s="24"/>
    </row>
    <row r="190" spans="2:23" s="44" customFormat="1" ht="15.75" x14ac:dyDescent="0.25">
      <c r="P190" s="46"/>
      <c r="Q190" s="46"/>
      <c r="R190" s="46"/>
      <c r="S190" s="46"/>
      <c r="T190" s="46"/>
      <c r="U190" s="46"/>
      <c r="V190" s="24"/>
      <c r="W190" s="24"/>
    </row>
    <row r="191" spans="2:23" s="44" customFormat="1" ht="15.75" x14ac:dyDescent="0.25">
      <c r="P191" s="46"/>
      <c r="Q191" s="46"/>
      <c r="R191" s="46"/>
      <c r="S191" s="46"/>
      <c r="T191" s="46"/>
      <c r="U191" s="46"/>
      <c r="V191" s="24"/>
      <c r="W191" s="24"/>
    </row>
    <row r="192" spans="2:23" s="44" customFormat="1" ht="15.75" x14ac:dyDescent="0.25">
      <c r="P192" s="46"/>
      <c r="Q192" s="46"/>
      <c r="R192" s="46"/>
      <c r="S192" s="46"/>
      <c r="T192" s="46"/>
      <c r="U192" s="46"/>
      <c r="V192" s="24"/>
      <c r="W192" s="24"/>
    </row>
    <row r="193" spans="16:23" s="44" customFormat="1" ht="15.75" x14ac:dyDescent="0.25">
      <c r="P193" s="46"/>
      <c r="Q193" s="46"/>
      <c r="R193" s="46"/>
      <c r="S193" s="46"/>
      <c r="T193" s="46"/>
      <c r="U193" s="46"/>
      <c r="V193" s="24"/>
      <c r="W193" s="24"/>
    </row>
    <row r="194" spans="16:23" s="44" customFormat="1" ht="15.75" x14ac:dyDescent="0.25">
      <c r="P194" s="46"/>
      <c r="Q194" s="46"/>
      <c r="R194" s="46"/>
      <c r="S194" s="46"/>
      <c r="T194" s="46"/>
      <c r="U194" s="46"/>
      <c r="V194" s="24"/>
      <c r="W194" s="24"/>
    </row>
    <row r="195" spans="16:23" s="44" customFormat="1" ht="15.75" x14ac:dyDescent="0.25">
      <c r="P195" s="46"/>
      <c r="Q195" s="46"/>
      <c r="R195" s="46"/>
      <c r="S195" s="46"/>
      <c r="T195" s="46"/>
      <c r="U195" s="46"/>
      <c r="V195" s="24"/>
      <c r="W195" s="24"/>
    </row>
    <row r="196" spans="16:23" s="44" customFormat="1" ht="15.75" x14ac:dyDescent="0.25">
      <c r="P196" s="46"/>
      <c r="Q196" s="46"/>
      <c r="R196" s="46"/>
      <c r="S196" s="46"/>
      <c r="T196" s="46"/>
      <c r="U196" s="46"/>
      <c r="V196" s="24"/>
      <c r="W196" s="24"/>
    </row>
    <row r="197" spans="16:23" s="44" customFormat="1" ht="15.75" x14ac:dyDescent="0.25">
      <c r="P197" s="46"/>
      <c r="Q197" s="46"/>
      <c r="R197" s="46"/>
      <c r="S197" s="46"/>
      <c r="T197" s="46"/>
      <c r="U197" s="46"/>
      <c r="V197" s="24"/>
      <c r="W197" s="24"/>
    </row>
    <row r="198" spans="16:23" s="44" customFormat="1" ht="15.75" x14ac:dyDescent="0.25">
      <c r="P198" s="46"/>
      <c r="Q198" s="46"/>
      <c r="R198" s="46"/>
      <c r="S198" s="46"/>
      <c r="T198" s="46"/>
      <c r="U198" s="46"/>
      <c r="V198" s="24"/>
      <c r="W198" s="24"/>
    </row>
    <row r="199" spans="16:23" s="44" customFormat="1" ht="15.75" x14ac:dyDescent="0.25">
      <c r="P199" s="46"/>
      <c r="Q199" s="46"/>
      <c r="R199" s="46"/>
      <c r="S199" s="46"/>
      <c r="T199" s="46"/>
      <c r="U199" s="46"/>
      <c r="V199" s="24"/>
      <c r="W199" s="24"/>
    </row>
    <row r="200" spans="16:23" s="44" customFormat="1" ht="15.75" x14ac:dyDescent="0.25">
      <c r="P200" s="46"/>
      <c r="Q200" s="46"/>
      <c r="R200" s="46"/>
      <c r="S200" s="46"/>
      <c r="T200" s="46"/>
      <c r="U200" s="46"/>
      <c r="V200" s="24"/>
      <c r="W200" s="24"/>
    </row>
    <row r="201" spans="16:23" s="44" customFormat="1" ht="15.75" x14ac:dyDescent="0.25">
      <c r="P201" s="46"/>
      <c r="Q201" s="46"/>
      <c r="R201" s="46"/>
      <c r="S201" s="46"/>
      <c r="T201" s="46"/>
      <c r="U201" s="46"/>
      <c r="V201" s="24"/>
      <c r="W201" s="24"/>
    </row>
    <row r="202" spans="16:23" s="44" customFormat="1" ht="15.75" x14ac:dyDescent="0.25">
      <c r="P202" s="46"/>
      <c r="Q202" s="46"/>
      <c r="R202" s="46"/>
      <c r="S202" s="46"/>
      <c r="T202" s="46"/>
      <c r="U202" s="46"/>
      <c r="V202" s="24"/>
      <c r="W202" s="24"/>
    </row>
    <row r="203" spans="16:23" s="44" customFormat="1" ht="15.75" x14ac:dyDescent="0.25">
      <c r="P203" s="46"/>
      <c r="Q203" s="46"/>
      <c r="R203" s="46"/>
      <c r="S203" s="46"/>
      <c r="T203" s="46"/>
      <c r="U203" s="46"/>
      <c r="V203" s="24"/>
      <c r="W203" s="24"/>
    </row>
    <row r="204" spans="16:23" s="44" customFormat="1" ht="15.75" x14ac:dyDescent="0.25">
      <c r="P204" s="46"/>
      <c r="Q204" s="46"/>
      <c r="R204" s="46"/>
      <c r="S204" s="46"/>
      <c r="T204" s="46"/>
      <c r="U204" s="46"/>
      <c r="V204" s="24"/>
      <c r="W204" s="24"/>
    </row>
    <row r="205" spans="16:23" s="44" customFormat="1" ht="15.75" x14ac:dyDescent="0.25">
      <c r="P205" s="46"/>
      <c r="Q205" s="46"/>
      <c r="R205" s="46"/>
      <c r="S205" s="46"/>
      <c r="T205" s="46"/>
      <c r="U205" s="46"/>
      <c r="V205" s="24"/>
      <c r="W205" s="24"/>
    </row>
    <row r="206" spans="16:23" s="44" customFormat="1" ht="15.75" x14ac:dyDescent="0.25">
      <c r="P206" s="46"/>
      <c r="Q206" s="46"/>
      <c r="R206" s="46"/>
      <c r="S206" s="46"/>
      <c r="T206" s="46"/>
      <c r="U206" s="46"/>
      <c r="V206" s="24"/>
      <c r="W206" s="24"/>
    </row>
    <row r="207" spans="16:23" s="44" customFormat="1" ht="15.75" x14ac:dyDescent="0.25">
      <c r="P207" s="46"/>
      <c r="Q207" s="46"/>
      <c r="R207" s="46"/>
      <c r="S207" s="46"/>
      <c r="T207" s="46"/>
      <c r="U207" s="46"/>
      <c r="V207" s="24"/>
      <c r="W207" s="24"/>
    </row>
    <row r="208" spans="16:23" s="44" customFormat="1" ht="15.75" x14ac:dyDescent="0.25">
      <c r="P208" s="46"/>
      <c r="Q208" s="46"/>
      <c r="R208" s="46"/>
      <c r="S208" s="46"/>
      <c r="T208" s="46"/>
      <c r="U208" s="46"/>
      <c r="V208" s="24"/>
      <c r="W208" s="24"/>
    </row>
    <row r="209" spans="16:23" s="44" customFormat="1" ht="15.75" x14ac:dyDescent="0.25">
      <c r="P209" s="46"/>
      <c r="Q209" s="46"/>
      <c r="R209" s="46"/>
      <c r="S209" s="46"/>
      <c r="T209" s="46"/>
      <c r="U209" s="46"/>
      <c r="V209" s="24"/>
      <c r="W209" s="24"/>
    </row>
    <row r="210" spans="16:23" s="44" customFormat="1" ht="15.75" x14ac:dyDescent="0.25">
      <c r="P210" s="46"/>
      <c r="Q210" s="46"/>
      <c r="R210" s="46"/>
      <c r="S210" s="46"/>
      <c r="T210" s="46"/>
      <c r="U210" s="46"/>
      <c r="V210" s="24"/>
      <c r="W210" s="24"/>
    </row>
    <row r="211" spans="16:23" s="44" customFormat="1" ht="15.75" x14ac:dyDescent="0.25">
      <c r="P211" s="46"/>
      <c r="Q211" s="46"/>
      <c r="R211" s="46"/>
      <c r="S211" s="46"/>
      <c r="T211" s="46"/>
      <c r="U211" s="46"/>
      <c r="V211" s="24"/>
      <c r="W211" s="24"/>
    </row>
    <row r="212" spans="16:23" s="44" customFormat="1" ht="15.75" x14ac:dyDescent="0.25">
      <c r="P212" s="46"/>
      <c r="Q212" s="46"/>
      <c r="R212" s="46"/>
      <c r="S212" s="46"/>
      <c r="T212" s="46"/>
      <c r="U212" s="46"/>
      <c r="V212" s="24"/>
      <c r="W212" s="24"/>
    </row>
    <row r="213" spans="16:23" s="44" customFormat="1" ht="15.75" x14ac:dyDescent="0.25">
      <c r="P213" s="46"/>
      <c r="Q213" s="46"/>
      <c r="R213" s="46"/>
      <c r="S213" s="46"/>
      <c r="T213" s="46"/>
      <c r="U213" s="46"/>
      <c r="V213" s="24"/>
      <c r="W213" s="24"/>
    </row>
    <row r="214" spans="16:23" s="44" customFormat="1" ht="15.75" x14ac:dyDescent="0.25">
      <c r="P214" s="46"/>
      <c r="Q214" s="46"/>
      <c r="R214" s="46"/>
      <c r="S214" s="46"/>
      <c r="T214" s="46"/>
      <c r="U214" s="46"/>
      <c r="V214" s="24"/>
      <c r="W214" s="24"/>
    </row>
    <row r="215" spans="16:23" s="44" customFormat="1" ht="15.75" x14ac:dyDescent="0.25">
      <c r="P215" s="46"/>
      <c r="Q215" s="46"/>
      <c r="R215" s="46"/>
      <c r="S215" s="46"/>
      <c r="T215" s="46"/>
      <c r="U215" s="46"/>
      <c r="V215" s="24"/>
      <c r="W215" s="24"/>
    </row>
    <row r="216" spans="16:23" s="44" customFormat="1" ht="15.75" x14ac:dyDescent="0.25">
      <c r="P216" s="46"/>
      <c r="Q216" s="46"/>
      <c r="R216" s="46"/>
      <c r="S216" s="46"/>
      <c r="T216" s="46"/>
      <c r="U216" s="46"/>
      <c r="V216" s="24"/>
      <c r="W216" s="24"/>
    </row>
    <row r="217" spans="16:23" s="44" customFormat="1" ht="15.75" x14ac:dyDescent="0.25">
      <c r="P217" s="46"/>
      <c r="Q217" s="46"/>
      <c r="R217" s="46"/>
      <c r="S217" s="46"/>
      <c r="T217" s="46"/>
      <c r="U217" s="46"/>
      <c r="V217" s="24"/>
      <c r="W217" s="24"/>
    </row>
    <row r="218" spans="16:23" s="44" customFormat="1" ht="15.75" x14ac:dyDescent="0.25">
      <c r="P218" s="46"/>
      <c r="Q218" s="46"/>
      <c r="R218" s="46"/>
      <c r="S218" s="46"/>
      <c r="T218" s="46"/>
      <c r="U218" s="46"/>
      <c r="V218" s="24"/>
      <c r="W218" s="24"/>
    </row>
    <row r="219" spans="16:23" s="44" customFormat="1" ht="15.75" x14ac:dyDescent="0.25">
      <c r="P219" s="46"/>
      <c r="Q219" s="46"/>
      <c r="R219" s="46"/>
      <c r="S219" s="46"/>
      <c r="T219" s="46"/>
      <c r="U219" s="46"/>
      <c r="V219" s="24"/>
      <c r="W219" s="24"/>
    </row>
    <row r="220" spans="16:23" s="44" customFormat="1" ht="15.75" x14ac:dyDescent="0.25">
      <c r="P220" s="46"/>
      <c r="Q220" s="46"/>
      <c r="R220" s="46"/>
      <c r="S220" s="46"/>
      <c r="T220" s="46"/>
      <c r="U220" s="46"/>
      <c r="V220" s="24"/>
      <c r="W220" s="24"/>
    </row>
    <row r="221" spans="16:23" s="44" customFormat="1" ht="15.75" x14ac:dyDescent="0.25">
      <c r="P221" s="46"/>
      <c r="Q221" s="46"/>
      <c r="R221" s="46"/>
      <c r="S221" s="46"/>
      <c r="T221" s="46"/>
      <c r="U221" s="46"/>
      <c r="V221" s="24"/>
      <c r="W221" s="24"/>
    </row>
    <row r="222" spans="16:23" s="44" customFormat="1" ht="15.75" x14ac:dyDescent="0.25">
      <c r="P222" s="46"/>
      <c r="Q222" s="46"/>
      <c r="R222" s="46"/>
      <c r="S222" s="46"/>
      <c r="T222" s="46"/>
      <c r="U222" s="46"/>
      <c r="V222" s="24"/>
      <c r="W222" s="24"/>
    </row>
    <row r="223" spans="16:23" s="44" customFormat="1" ht="15.75" x14ac:dyDescent="0.25">
      <c r="P223" s="46"/>
      <c r="Q223" s="46"/>
      <c r="R223" s="46"/>
      <c r="S223" s="46"/>
      <c r="T223" s="46"/>
      <c r="U223" s="46"/>
      <c r="V223" s="24"/>
      <c r="W223" s="24"/>
    </row>
    <row r="224" spans="16:23" s="44" customFormat="1" ht="15.75" x14ac:dyDescent="0.25">
      <c r="P224" s="46"/>
      <c r="Q224" s="46"/>
      <c r="R224" s="46"/>
      <c r="S224" s="46"/>
      <c r="T224" s="46"/>
      <c r="U224" s="46"/>
      <c r="V224" s="24"/>
      <c r="W224" s="24"/>
    </row>
    <row r="225" spans="16:23" s="44" customFormat="1" ht="15.75" x14ac:dyDescent="0.25">
      <c r="P225" s="46"/>
      <c r="Q225" s="46"/>
      <c r="R225" s="46"/>
      <c r="S225" s="46"/>
      <c r="T225" s="46"/>
      <c r="U225" s="46"/>
      <c r="V225" s="24"/>
      <c r="W225" s="24"/>
    </row>
    <row r="226" spans="16:23" s="44" customFormat="1" ht="15.75" x14ac:dyDescent="0.25">
      <c r="P226" s="46"/>
      <c r="Q226" s="46"/>
      <c r="R226" s="46"/>
      <c r="S226" s="46"/>
      <c r="T226" s="46"/>
      <c r="U226" s="46"/>
      <c r="V226" s="24"/>
      <c r="W226" s="24"/>
    </row>
    <row r="227" spans="16:23" s="44" customFormat="1" ht="15.75" x14ac:dyDescent="0.25">
      <c r="P227" s="46"/>
      <c r="Q227" s="46"/>
      <c r="R227" s="46"/>
      <c r="S227" s="46"/>
      <c r="T227" s="46"/>
      <c r="U227" s="46"/>
      <c r="V227" s="24"/>
      <c r="W227" s="24"/>
    </row>
    <row r="228" spans="16:23" s="44" customFormat="1" ht="15.75" x14ac:dyDescent="0.25">
      <c r="P228" s="46"/>
      <c r="Q228" s="46"/>
      <c r="R228" s="46"/>
      <c r="S228" s="46"/>
      <c r="T228" s="46"/>
      <c r="U228" s="46"/>
      <c r="V228" s="24"/>
      <c r="W228" s="24"/>
    </row>
    <row r="229" spans="16:23" s="44" customFormat="1" ht="15.75" x14ac:dyDescent="0.25">
      <c r="P229" s="46"/>
      <c r="Q229" s="46"/>
      <c r="R229" s="46"/>
      <c r="S229" s="46"/>
      <c r="T229" s="46"/>
      <c r="U229" s="46"/>
      <c r="V229" s="24"/>
      <c r="W229" s="24"/>
    </row>
    <row r="230" spans="16:23" s="44" customFormat="1" ht="15.75" x14ac:dyDescent="0.25">
      <c r="P230" s="46"/>
      <c r="Q230" s="46"/>
      <c r="R230" s="46"/>
      <c r="S230" s="46"/>
      <c r="T230" s="46"/>
      <c r="U230" s="46"/>
      <c r="V230" s="24"/>
      <c r="W230" s="24"/>
    </row>
    <row r="231" spans="16:23" s="44" customFormat="1" ht="15.75" x14ac:dyDescent="0.25">
      <c r="P231" s="46"/>
      <c r="Q231" s="46"/>
      <c r="R231" s="46"/>
      <c r="S231" s="46"/>
      <c r="T231" s="46"/>
      <c r="U231" s="46"/>
      <c r="V231" s="24"/>
      <c r="W231" s="24"/>
    </row>
    <row r="232" spans="16:23" s="44" customFormat="1" ht="15.75" x14ac:dyDescent="0.25">
      <c r="P232" s="46"/>
      <c r="Q232" s="46"/>
      <c r="R232" s="46"/>
      <c r="S232" s="46"/>
      <c r="T232" s="46"/>
      <c r="U232" s="46"/>
      <c r="V232" s="24"/>
      <c r="W232" s="24"/>
    </row>
    <row r="233" spans="16:23" s="44" customFormat="1" ht="15.75" x14ac:dyDescent="0.25">
      <c r="P233" s="46"/>
      <c r="Q233" s="46"/>
      <c r="R233" s="46"/>
      <c r="S233" s="46"/>
      <c r="T233" s="46"/>
      <c r="U233" s="46"/>
      <c r="V233" s="24"/>
      <c r="W233" s="24"/>
    </row>
    <row r="234" spans="16:23" s="44" customFormat="1" ht="15.75" x14ac:dyDescent="0.25">
      <c r="P234" s="46"/>
      <c r="Q234" s="46"/>
      <c r="R234" s="46"/>
      <c r="S234" s="46"/>
      <c r="T234" s="46"/>
      <c r="U234" s="46"/>
      <c r="V234" s="24"/>
      <c r="W234" s="24"/>
    </row>
    <row r="235" spans="16:23" s="44" customFormat="1" ht="15.75" x14ac:dyDescent="0.25">
      <c r="P235" s="46"/>
      <c r="Q235" s="46"/>
      <c r="R235" s="46"/>
      <c r="S235" s="46"/>
      <c r="T235" s="46"/>
      <c r="U235" s="46"/>
      <c r="V235" s="24"/>
      <c r="W235" s="24"/>
    </row>
    <row r="236" spans="16:23" s="44" customFormat="1" ht="15.75" x14ac:dyDescent="0.25">
      <c r="P236" s="46"/>
      <c r="Q236" s="46"/>
      <c r="R236" s="46"/>
      <c r="S236" s="46"/>
      <c r="T236" s="46"/>
      <c r="U236" s="46"/>
      <c r="V236" s="24"/>
      <c r="W236" s="24"/>
    </row>
    <row r="237" spans="16:23" s="44" customFormat="1" ht="15.75" x14ac:dyDescent="0.25">
      <c r="P237" s="46"/>
      <c r="Q237" s="46"/>
      <c r="R237" s="46"/>
      <c r="S237" s="46"/>
      <c r="T237" s="46"/>
      <c r="U237" s="46"/>
      <c r="V237" s="24"/>
      <c r="W237" s="24"/>
    </row>
    <row r="238" spans="16:23" s="44" customFormat="1" ht="15.75" x14ac:dyDescent="0.25">
      <c r="P238" s="46"/>
      <c r="Q238" s="46"/>
      <c r="R238" s="46"/>
      <c r="S238" s="46"/>
      <c r="T238" s="46"/>
      <c r="U238" s="46"/>
      <c r="V238" s="24"/>
      <c r="W238" s="24"/>
    </row>
    <row r="239" spans="16:23" s="44" customFormat="1" ht="15.75" x14ac:dyDescent="0.25">
      <c r="P239" s="46"/>
      <c r="Q239" s="46"/>
      <c r="R239" s="46"/>
      <c r="S239" s="46"/>
      <c r="T239" s="46"/>
      <c r="U239" s="46"/>
      <c r="V239" s="24"/>
      <c r="W239" s="24"/>
    </row>
    <row r="240" spans="16:23" s="44" customFormat="1" ht="15.75" x14ac:dyDescent="0.25">
      <c r="P240" s="46"/>
      <c r="Q240" s="46"/>
      <c r="R240" s="46"/>
      <c r="S240" s="46"/>
      <c r="T240" s="46"/>
      <c r="U240" s="46"/>
      <c r="V240" s="24"/>
      <c r="W240" s="24"/>
    </row>
    <row r="241" spans="16:23" s="44" customFormat="1" ht="15.75" x14ac:dyDescent="0.25">
      <c r="P241" s="46"/>
      <c r="Q241" s="46"/>
      <c r="R241" s="46"/>
      <c r="S241" s="46"/>
      <c r="T241" s="46"/>
      <c r="U241" s="46"/>
      <c r="V241" s="24"/>
      <c r="W241" s="24"/>
    </row>
    <row r="242" spans="16:23" s="44" customFormat="1" ht="15.75" x14ac:dyDescent="0.25">
      <c r="P242" s="46"/>
      <c r="Q242" s="46"/>
      <c r="R242" s="46"/>
      <c r="S242" s="46"/>
      <c r="T242" s="46"/>
      <c r="U242" s="46"/>
      <c r="V242" s="24"/>
      <c r="W242" s="24"/>
    </row>
    <row r="243" spans="16:23" s="44" customFormat="1" ht="15.75" x14ac:dyDescent="0.25">
      <c r="P243" s="46"/>
      <c r="Q243" s="46"/>
      <c r="R243" s="46"/>
      <c r="S243" s="46"/>
      <c r="T243" s="46"/>
      <c r="U243" s="46"/>
      <c r="V243" s="24"/>
      <c r="W243" s="24"/>
    </row>
    <row r="244" spans="16:23" s="44" customFormat="1" ht="15.75" x14ac:dyDescent="0.25">
      <c r="P244" s="46"/>
      <c r="Q244" s="46"/>
      <c r="R244" s="46"/>
      <c r="S244" s="46"/>
      <c r="T244" s="46"/>
      <c r="U244" s="46"/>
      <c r="V244" s="24"/>
      <c r="W244" s="24"/>
    </row>
    <row r="245" spans="16:23" s="44" customFormat="1" ht="15.75" x14ac:dyDescent="0.25">
      <c r="P245" s="46"/>
      <c r="Q245" s="46"/>
      <c r="R245" s="46"/>
      <c r="S245" s="46"/>
      <c r="T245" s="46"/>
      <c r="U245" s="46"/>
      <c r="V245" s="24"/>
      <c r="W245" s="24"/>
    </row>
    <row r="246" spans="16:23" s="44" customFormat="1" ht="15.75" x14ac:dyDescent="0.25">
      <c r="P246" s="46"/>
      <c r="Q246" s="46"/>
      <c r="R246" s="46"/>
      <c r="S246" s="46"/>
      <c r="T246" s="46"/>
      <c r="U246" s="46"/>
      <c r="V246" s="24"/>
      <c r="W246" s="24"/>
    </row>
    <row r="247" spans="16:23" s="44" customFormat="1" ht="15.75" x14ac:dyDescent="0.25">
      <c r="P247" s="46"/>
      <c r="Q247" s="46"/>
      <c r="R247" s="46"/>
      <c r="S247" s="46"/>
      <c r="T247" s="46"/>
      <c r="U247" s="46"/>
      <c r="V247" s="24"/>
      <c r="W247" s="24"/>
    </row>
    <row r="248" spans="16:23" s="44" customFormat="1" ht="15.75" x14ac:dyDescent="0.25">
      <c r="P248" s="46"/>
      <c r="Q248" s="46"/>
      <c r="R248" s="46"/>
      <c r="S248" s="46"/>
      <c r="T248" s="46"/>
      <c r="U248" s="46"/>
      <c r="V248" s="24"/>
      <c r="W248" s="24"/>
    </row>
    <row r="249" spans="16:23" s="44" customFormat="1" ht="15.75" x14ac:dyDescent="0.25">
      <c r="P249" s="46"/>
      <c r="Q249" s="46"/>
      <c r="R249" s="46"/>
      <c r="S249" s="46"/>
      <c r="T249" s="46"/>
      <c r="U249" s="46"/>
      <c r="V249" s="24"/>
      <c r="W249" s="24"/>
    </row>
    <row r="250" spans="16:23" s="44" customFormat="1" ht="15.75" x14ac:dyDescent="0.25">
      <c r="P250" s="46"/>
      <c r="Q250" s="46"/>
      <c r="R250" s="46"/>
      <c r="S250" s="46"/>
      <c r="T250" s="46"/>
      <c r="U250" s="46"/>
      <c r="V250" s="24"/>
      <c r="W250" s="24"/>
    </row>
    <row r="251" spans="16:23" s="44" customFormat="1" ht="15.75" x14ac:dyDescent="0.25">
      <c r="P251" s="46"/>
      <c r="Q251" s="46"/>
      <c r="R251" s="46"/>
      <c r="S251" s="46"/>
      <c r="T251" s="46"/>
      <c r="U251" s="46"/>
      <c r="V251" s="24"/>
      <c r="W251" s="24"/>
    </row>
    <row r="252" spans="16:23" s="44" customFormat="1" ht="15.75" x14ac:dyDescent="0.25">
      <c r="P252" s="46"/>
      <c r="Q252" s="46"/>
      <c r="R252" s="46"/>
      <c r="S252" s="46"/>
      <c r="T252" s="46"/>
      <c r="U252" s="46"/>
      <c r="V252" s="24"/>
      <c r="W252" s="24"/>
    </row>
    <row r="253" spans="16:23" s="44" customFormat="1" ht="15.75" x14ac:dyDescent="0.25">
      <c r="P253" s="46"/>
      <c r="Q253" s="46"/>
      <c r="R253" s="46"/>
      <c r="S253" s="46"/>
      <c r="T253" s="46"/>
      <c r="U253" s="46"/>
      <c r="V253" s="24"/>
      <c r="W253" s="24"/>
    </row>
    <row r="254" spans="16:23" s="44" customFormat="1" ht="15.75" x14ac:dyDescent="0.25">
      <c r="P254" s="46"/>
      <c r="Q254" s="46"/>
      <c r="R254" s="46"/>
      <c r="S254" s="46"/>
      <c r="T254" s="46"/>
      <c r="U254" s="46"/>
      <c r="V254" s="24"/>
      <c r="W254" s="24"/>
    </row>
    <row r="255" spans="16:23" s="44" customFormat="1" ht="15.75" x14ac:dyDescent="0.25">
      <c r="P255" s="46"/>
      <c r="Q255" s="46"/>
      <c r="R255" s="46"/>
      <c r="S255" s="46"/>
      <c r="T255" s="46"/>
      <c r="U255" s="46"/>
      <c r="V255" s="24"/>
      <c r="W255" s="24"/>
    </row>
    <row r="256" spans="16:23" s="44" customFormat="1" ht="15.75" x14ac:dyDescent="0.25">
      <c r="P256" s="46"/>
      <c r="Q256" s="46"/>
      <c r="R256" s="46"/>
      <c r="S256" s="46"/>
      <c r="T256" s="46"/>
      <c r="U256" s="46"/>
      <c r="V256" s="24"/>
      <c r="W256" s="24"/>
    </row>
    <row r="257" spans="16:23" s="44" customFormat="1" ht="15.75" x14ac:dyDescent="0.25">
      <c r="P257" s="46"/>
      <c r="Q257" s="46"/>
      <c r="R257" s="46"/>
      <c r="S257" s="46"/>
      <c r="T257" s="46"/>
      <c r="U257" s="46"/>
      <c r="V257" s="24"/>
      <c r="W257" s="24"/>
    </row>
    <row r="258" spans="16:23" s="44" customFormat="1" ht="15.75" x14ac:dyDescent="0.25">
      <c r="P258" s="46"/>
      <c r="Q258" s="46"/>
      <c r="R258" s="46"/>
      <c r="S258" s="46"/>
      <c r="T258" s="46"/>
      <c r="U258" s="46"/>
      <c r="V258" s="24"/>
      <c r="W258" s="24"/>
    </row>
    <row r="259" spans="16:23" s="44" customFormat="1" ht="15.75" x14ac:dyDescent="0.25">
      <c r="P259" s="46"/>
      <c r="Q259" s="46"/>
      <c r="R259" s="46"/>
      <c r="S259" s="46"/>
      <c r="T259" s="46"/>
      <c r="U259" s="46"/>
      <c r="V259" s="24"/>
      <c r="W259" s="24"/>
    </row>
    <row r="260" spans="16:23" s="44" customFormat="1" ht="15.75" x14ac:dyDescent="0.25">
      <c r="P260" s="46"/>
      <c r="Q260" s="46"/>
      <c r="R260" s="46"/>
      <c r="S260" s="46"/>
      <c r="T260" s="46"/>
      <c r="U260" s="46"/>
      <c r="V260" s="24"/>
      <c r="W260" s="24"/>
    </row>
    <row r="261" spans="16:23" s="44" customFormat="1" ht="15.75" x14ac:dyDescent="0.25">
      <c r="P261" s="46"/>
      <c r="Q261" s="46"/>
      <c r="R261" s="46"/>
      <c r="S261" s="46"/>
      <c r="T261" s="46"/>
      <c r="U261" s="46"/>
      <c r="V261" s="24"/>
      <c r="W261" s="24"/>
    </row>
    <row r="262" spans="16:23" s="44" customFormat="1" ht="15.75" x14ac:dyDescent="0.25">
      <c r="P262" s="46"/>
      <c r="Q262" s="46"/>
      <c r="R262" s="46"/>
      <c r="S262" s="46"/>
      <c r="T262" s="46"/>
      <c r="U262" s="46"/>
      <c r="V262" s="24"/>
      <c r="W262" s="24"/>
    </row>
    <row r="263" spans="16:23" s="44" customFormat="1" ht="15.75" x14ac:dyDescent="0.25">
      <c r="P263" s="46"/>
      <c r="Q263" s="46"/>
      <c r="R263" s="46"/>
      <c r="S263" s="46"/>
      <c r="T263" s="46"/>
      <c r="U263" s="46"/>
      <c r="V263" s="24"/>
      <c r="W263" s="24"/>
    </row>
    <row r="264" spans="16:23" s="44" customFormat="1" ht="15.75" x14ac:dyDescent="0.25">
      <c r="P264" s="46"/>
      <c r="Q264" s="46"/>
      <c r="R264" s="46"/>
      <c r="S264" s="46"/>
      <c r="T264" s="46"/>
      <c r="U264" s="46"/>
      <c r="V264" s="24"/>
      <c r="W264" s="24"/>
    </row>
    <row r="265" spans="16:23" s="44" customFormat="1" ht="15.75" x14ac:dyDescent="0.25">
      <c r="P265" s="46"/>
      <c r="Q265" s="46"/>
      <c r="R265" s="46"/>
      <c r="S265" s="46"/>
      <c r="T265" s="46"/>
      <c r="U265" s="46"/>
      <c r="V265" s="24"/>
      <c r="W265" s="24"/>
    </row>
    <row r="266" spans="16:23" s="44" customFormat="1" ht="15.75" x14ac:dyDescent="0.25">
      <c r="P266" s="46"/>
      <c r="Q266" s="46"/>
      <c r="R266" s="46"/>
      <c r="S266" s="46"/>
      <c r="T266" s="46"/>
      <c r="U266" s="46"/>
      <c r="V266" s="24"/>
      <c r="W266" s="24"/>
    </row>
    <row r="267" spans="16:23" s="44" customFormat="1" ht="15.75" x14ac:dyDescent="0.25">
      <c r="P267" s="46"/>
      <c r="Q267" s="46"/>
      <c r="R267" s="46"/>
      <c r="S267" s="46"/>
      <c r="T267" s="46"/>
      <c r="U267" s="46"/>
      <c r="V267" s="24"/>
      <c r="W267" s="24"/>
    </row>
    <row r="268" spans="16:23" s="44" customFormat="1" ht="15.75" x14ac:dyDescent="0.25">
      <c r="P268" s="46"/>
      <c r="Q268" s="46"/>
      <c r="R268" s="46"/>
      <c r="S268" s="46"/>
      <c r="T268" s="46"/>
      <c r="U268" s="46"/>
      <c r="V268" s="24"/>
      <c r="W268" s="24"/>
    </row>
    <row r="269" spans="16:23" s="44" customFormat="1" ht="15.75" x14ac:dyDescent="0.25">
      <c r="P269" s="46"/>
      <c r="Q269" s="46"/>
      <c r="R269" s="46"/>
      <c r="S269" s="46"/>
      <c r="T269" s="46"/>
      <c r="U269" s="46"/>
      <c r="V269" s="24"/>
      <c r="W269" s="24"/>
    </row>
    <row r="270" spans="16:23" s="44" customFormat="1" ht="15.75" x14ac:dyDescent="0.25">
      <c r="P270" s="46"/>
      <c r="Q270" s="46"/>
      <c r="R270" s="46"/>
      <c r="S270" s="46"/>
      <c r="T270" s="46"/>
      <c r="U270" s="46"/>
      <c r="V270" s="24"/>
      <c r="W270" s="24"/>
    </row>
    <row r="271" spans="16:23" s="44" customFormat="1" ht="15.75" x14ac:dyDescent="0.25">
      <c r="P271" s="46"/>
      <c r="Q271" s="46"/>
      <c r="R271" s="46"/>
      <c r="S271" s="46"/>
      <c r="T271" s="46"/>
      <c r="U271" s="46"/>
      <c r="V271" s="24"/>
      <c r="W271" s="24"/>
    </row>
    <row r="272" spans="16:23" s="44" customFormat="1" ht="15.75" x14ac:dyDescent="0.25">
      <c r="P272" s="46"/>
      <c r="Q272" s="46"/>
      <c r="R272" s="46"/>
      <c r="S272" s="46"/>
      <c r="T272" s="46"/>
      <c r="U272" s="46"/>
      <c r="V272" s="24"/>
      <c r="W272" s="24"/>
    </row>
    <row r="273" spans="16:23" s="44" customFormat="1" ht="15.75" x14ac:dyDescent="0.25">
      <c r="P273" s="46"/>
      <c r="Q273" s="46"/>
      <c r="R273" s="46"/>
      <c r="S273" s="46"/>
      <c r="T273" s="46"/>
      <c r="U273" s="46"/>
      <c r="V273" s="24"/>
      <c r="W273" s="24"/>
    </row>
    <row r="274" spans="16:23" s="44" customFormat="1" ht="15.75" x14ac:dyDescent="0.25">
      <c r="P274" s="46"/>
      <c r="Q274" s="46"/>
      <c r="R274" s="46"/>
      <c r="S274" s="46"/>
      <c r="T274" s="46"/>
      <c r="U274" s="46"/>
      <c r="V274" s="24"/>
      <c r="W274" s="24"/>
    </row>
    <row r="275" spans="16:23" s="44" customFormat="1" ht="15.75" x14ac:dyDescent="0.25">
      <c r="P275" s="46"/>
      <c r="Q275" s="46"/>
      <c r="R275" s="46"/>
      <c r="S275" s="46"/>
      <c r="T275" s="46"/>
      <c r="U275" s="46"/>
      <c r="V275" s="24"/>
      <c r="W275" s="24"/>
    </row>
    <row r="276" spans="16:23" s="44" customFormat="1" ht="15.75" x14ac:dyDescent="0.25">
      <c r="P276" s="46"/>
      <c r="Q276" s="46"/>
      <c r="R276" s="46"/>
      <c r="S276" s="46"/>
      <c r="T276" s="46"/>
      <c r="U276" s="46"/>
      <c r="V276" s="24"/>
      <c r="W276" s="24"/>
    </row>
    <row r="277" spans="16:23" s="44" customFormat="1" ht="15.75" x14ac:dyDescent="0.25">
      <c r="P277" s="46"/>
      <c r="Q277" s="46"/>
      <c r="R277" s="46"/>
      <c r="S277" s="46"/>
      <c r="T277" s="46"/>
      <c r="U277" s="46"/>
      <c r="V277" s="24"/>
      <c r="W277" s="24"/>
    </row>
    <row r="278" spans="16:23" s="44" customFormat="1" ht="15.75" x14ac:dyDescent="0.25">
      <c r="P278" s="46"/>
      <c r="Q278" s="46"/>
      <c r="R278" s="46"/>
      <c r="S278" s="46"/>
      <c r="T278" s="46"/>
      <c r="U278" s="46"/>
      <c r="V278" s="24"/>
      <c r="W278" s="24"/>
    </row>
    <row r="279" spans="16:23" s="44" customFormat="1" ht="15.75" x14ac:dyDescent="0.25">
      <c r="P279" s="46"/>
      <c r="Q279" s="46"/>
      <c r="R279" s="46"/>
      <c r="S279" s="46"/>
      <c r="T279" s="46"/>
      <c r="U279" s="46"/>
      <c r="V279" s="24"/>
      <c r="W279" s="24"/>
    </row>
    <row r="280" spans="16:23" s="44" customFormat="1" ht="15.75" x14ac:dyDescent="0.25">
      <c r="P280" s="46"/>
      <c r="Q280" s="46"/>
      <c r="R280" s="46"/>
      <c r="S280" s="46"/>
      <c r="T280" s="46"/>
      <c r="U280" s="46"/>
      <c r="V280" s="24"/>
      <c r="W280" s="24"/>
    </row>
    <row r="281" spans="16:23" s="44" customFormat="1" ht="15.75" x14ac:dyDescent="0.25">
      <c r="P281" s="46"/>
      <c r="Q281" s="46"/>
      <c r="R281" s="46"/>
      <c r="S281" s="46"/>
      <c r="T281" s="46"/>
      <c r="U281" s="46"/>
      <c r="V281" s="24"/>
      <c r="W281" s="24"/>
    </row>
    <row r="282" spans="16:23" s="44" customFormat="1" ht="15.75" x14ac:dyDescent="0.25">
      <c r="P282" s="46"/>
      <c r="Q282" s="46"/>
      <c r="R282" s="46"/>
      <c r="S282" s="46"/>
      <c r="T282" s="46"/>
      <c r="U282" s="46"/>
      <c r="V282" s="24"/>
      <c r="W282" s="24"/>
    </row>
    <row r="283" spans="16:23" s="44" customFormat="1" ht="15.75" x14ac:dyDescent="0.25">
      <c r="P283" s="46"/>
      <c r="Q283" s="46"/>
      <c r="R283" s="46"/>
      <c r="S283" s="46"/>
      <c r="T283" s="46"/>
      <c r="U283" s="46"/>
      <c r="V283" s="24"/>
      <c r="W283" s="24"/>
    </row>
    <row r="284" spans="16:23" s="44" customFormat="1" ht="15.75" x14ac:dyDescent="0.25">
      <c r="P284" s="46"/>
      <c r="Q284" s="46"/>
      <c r="R284" s="46"/>
      <c r="S284" s="46"/>
      <c r="T284" s="46"/>
      <c r="U284" s="46"/>
      <c r="V284" s="24"/>
      <c r="W284" s="24"/>
    </row>
    <row r="285" spans="16:23" s="44" customFormat="1" ht="15.75" x14ac:dyDescent="0.25">
      <c r="P285" s="46"/>
      <c r="Q285" s="46"/>
      <c r="R285" s="46"/>
      <c r="S285" s="46"/>
      <c r="T285" s="46"/>
      <c r="U285" s="46"/>
      <c r="V285" s="24"/>
      <c r="W285" s="24"/>
    </row>
    <row r="286" spans="16:23" s="44" customFormat="1" ht="15.75" x14ac:dyDescent="0.25">
      <c r="P286" s="46"/>
      <c r="Q286" s="46"/>
      <c r="R286" s="46"/>
      <c r="S286" s="46"/>
      <c r="T286" s="46"/>
      <c r="U286" s="46"/>
      <c r="V286" s="24"/>
      <c r="W286" s="24"/>
    </row>
    <row r="287" spans="16:23" s="44" customFormat="1" ht="15.75" x14ac:dyDescent="0.25">
      <c r="P287" s="46"/>
      <c r="Q287" s="46"/>
      <c r="R287" s="46"/>
      <c r="S287" s="46"/>
      <c r="T287" s="46"/>
      <c r="U287" s="46"/>
      <c r="V287" s="24"/>
      <c r="W287" s="24"/>
    </row>
    <row r="288" spans="16:23" s="44" customFormat="1" ht="15.75" x14ac:dyDescent="0.25">
      <c r="P288" s="46"/>
      <c r="Q288" s="46"/>
      <c r="R288" s="46"/>
      <c r="S288" s="46"/>
      <c r="T288" s="46"/>
      <c r="U288" s="46"/>
      <c r="V288" s="24"/>
      <c r="W288" s="24"/>
    </row>
    <row r="289" spans="16:23" s="44" customFormat="1" ht="15.75" x14ac:dyDescent="0.25">
      <c r="P289" s="46"/>
      <c r="Q289" s="46"/>
      <c r="R289" s="46"/>
      <c r="S289" s="46"/>
      <c r="T289" s="46"/>
      <c r="U289" s="46"/>
      <c r="V289" s="24"/>
      <c r="W289" s="24"/>
    </row>
    <row r="290" spans="16:23" s="44" customFormat="1" ht="15.75" x14ac:dyDescent="0.25">
      <c r="P290" s="46"/>
      <c r="Q290" s="46"/>
      <c r="R290" s="46"/>
      <c r="S290" s="46"/>
      <c r="T290" s="46"/>
      <c r="U290" s="46"/>
      <c r="V290" s="24"/>
      <c r="W290" s="24"/>
    </row>
    <row r="291" spans="16:23" s="44" customFormat="1" ht="15.75" x14ac:dyDescent="0.25">
      <c r="P291" s="46"/>
      <c r="Q291" s="46"/>
      <c r="R291" s="46"/>
      <c r="S291" s="46"/>
      <c r="T291" s="46"/>
      <c r="U291" s="46"/>
      <c r="V291" s="24"/>
      <c r="W291" s="24"/>
    </row>
    <row r="292" spans="16:23" s="44" customFormat="1" ht="15.75" x14ac:dyDescent="0.25">
      <c r="P292" s="46"/>
      <c r="Q292" s="46"/>
      <c r="R292" s="46"/>
      <c r="S292" s="46"/>
      <c r="T292" s="46"/>
      <c r="U292" s="46"/>
      <c r="V292" s="24"/>
      <c r="W292" s="24"/>
    </row>
    <row r="293" spans="16:23" s="44" customFormat="1" ht="15.75" x14ac:dyDescent="0.25">
      <c r="P293" s="46"/>
      <c r="Q293" s="46"/>
      <c r="R293" s="46"/>
      <c r="S293" s="46"/>
      <c r="T293" s="46"/>
      <c r="U293" s="46"/>
      <c r="V293" s="24"/>
      <c r="W293" s="24"/>
    </row>
    <row r="294" spans="16:23" s="44" customFormat="1" ht="15.75" x14ac:dyDescent="0.25">
      <c r="P294" s="46"/>
      <c r="Q294" s="46"/>
      <c r="R294" s="46"/>
      <c r="S294" s="46"/>
      <c r="T294" s="46"/>
      <c r="U294" s="46"/>
      <c r="V294" s="24"/>
      <c r="W294" s="24"/>
    </row>
    <row r="295" spans="16:23" s="44" customFormat="1" ht="15.75" x14ac:dyDescent="0.25">
      <c r="P295" s="46"/>
      <c r="Q295" s="46"/>
      <c r="R295" s="46"/>
      <c r="S295" s="46"/>
      <c r="T295" s="46"/>
      <c r="U295" s="46"/>
      <c r="V295" s="24"/>
      <c r="W295" s="24"/>
    </row>
    <row r="296" spans="16:23" s="44" customFormat="1" ht="15.75" x14ac:dyDescent="0.25">
      <c r="P296" s="46"/>
      <c r="Q296" s="46"/>
      <c r="R296" s="46"/>
      <c r="S296" s="46"/>
      <c r="T296" s="46"/>
      <c r="U296" s="46"/>
      <c r="V296" s="24"/>
      <c r="W296" s="24"/>
    </row>
    <row r="297" spans="16:23" s="44" customFormat="1" ht="15.75" x14ac:dyDescent="0.25">
      <c r="P297" s="46"/>
      <c r="Q297" s="46"/>
      <c r="R297" s="46"/>
      <c r="S297" s="46"/>
      <c r="T297" s="46"/>
      <c r="U297" s="46"/>
      <c r="V297" s="24"/>
      <c r="W297" s="24"/>
    </row>
    <row r="298" spans="16:23" s="44" customFormat="1" ht="15.75" x14ac:dyDescent="0.25">
      <c r="P298" s="46"/>
      <c r="Q298" s="46"/>
      <c r="R298" s="46"/>
      <c r="S298" s="46"/>
      <c r="T298" s="46"/>
      <c r="U298" s="46"/>
      <c r="V298" s="24"/>
      <c r="W298" s="24"/>
    </row>
    <row r="299" spans="16:23" s="44" customFormat="1" ht="15.75" x14ac:dyDescent="0.25">
      <c r="P299" s="46"/>
      <c r="Q299" s="46"/>
      <c r="R299" s="46"/>
      <c r="S299" s="46"/>
      <c r="T299" s="46"/>
      <c r="U299" s="46"/>
      <c r="V299" s="24"/>
      <c r="W299" s="24"/>
    </row>
    <row r="300" spans="16:23" s="44" customFormat="1" ht="15.75" x14ac:dyDescent="0.25">
      <c r="P300" s="46"/>
      <c r="Q300" s="46"/>
      <c r="R300" s="46"/>
      <c r="S300" s="46"/>
      <c r="T300" s="46"/>
      <c r="U300" s="46"/>
      <c r="V300" s="24"/>
      <c r="W300" s="24"/>
    </row>
    <row r="301" spans="16:23" s="44" customFormat="1" ht="15.75" x14ac:dyDescent="0.25">
      <c r="P301" s="46"/>
      <c r="Q301" s="46"/>
      <c r="R301" s="46"/>
      <c r="S301" s="46"/>
      <c r="T301" s="46"/>
      <c r="U301" s="46"/>
      <c r="V301" s="24"/>
      <c r="W301" s="24"/>
    </row>
    <row r="302" spans="16:23" s="44" customFormat="1" ht="15.75" x14ac:dyDescent="0.25">
      <c r="P302" s="46"/>
      <c r="Q302" s="46"/>
      <c r="R302" s="46"/>
      <c r="S302" s="46"/>
      <c r="T302" s="46"/>
      <c r="U302" s="46"/>
      <c r="V302" s="24"/>
      <c r="W302" s="24"/>
    </row>
    <row r="303" spans="16:23" s="44" customFormat="1" ht="15.75" x14ac:dyDescent="0.25">
      <c r="P303" s="46"/>
      <c r="Q303" s="46"/>
      <c r="R303" s="46"/>
      <c r="S303" s="46"/>
      <c r="T303" s="46"/>
      <c r="U303" s="46"/>
      <c r="V303" s="24"/>
      <c r="W303" s="24"/>
    </row>
    <row r="304" spans="16:23" s="44" customFormat="1" ht="15.75" x14ac:dyDescent="0.25">
      <c r="P304" s="46"/>
      <c r="Q304" s="46"/>
      <c r="R304" s="46"/>
      <c r="S304" s="46"/>
      <c r="T304" s="46"/>
      <c r="U304" s="46"/>
      <c r="V304" s="24"/>
      <c r="W304" s="24"/>
    </row>
    <row r="305" spans="16:23" s="44" customFormat="1" ht="15.75" x14ac:dyDescent="0.25">
      <c r="P305" s="46"/>
      <c r="Q305" s="46"/>
      <c r="R305" s="46"/>
      <c r="S305" s="46"/>
      <c r="T305" s="46"/>
      <c r="U305" s="46"/>
      <c r="V305" s="24"/>
      <c r="W305" s="24"/>
    </row>
    <row r="306" spans="16:23" s="44" customFormat="1" ht="15.75" x14ac:dyDescent="0.25">
      <c r="P306" s="46"/>
      <c r="Q306" s="46"/>
      <c r="R306" s="46"/>
      <c r="S306" s="46"/>
      <c r="T306" s="46"/>
      <c r="U306" s="46"/>
      <c r="V306" s="24"/>
      <c r="W306" s="24"/>
    </row>
    <row r="307" spans="16:23" s="44" customFormat="1" ht="15.75" x14ac:dyDescent="0.25">
      <c r="P307" s="46"/>
      <c r="Q307" s="46"/>
      <c r="R307" s="46"/>
      <c r="S307" s="46"/>
      <c r="T307" s="46"/>
      <c r="U307" s="46"/>
      <c r="V307" s="24"/>
      <c r="W307" s="24"/>
    </row>
    <row r="308" spans="16:23" s="44" customFormat="1" ht="15.75" x14ac:dyDescent="0.25">
      <c r="P308" s="46"/>
      <c r="Q308" s="46"/>
      <c r="R308" s="46"/>
      <c r="S308" s="46"/>
      <c r="T308" s="46"/>
      <c r="U308" s="46"/>
      <c r="V308" s="24"/>
      <c r="W308" s="24"/>
    </row>
    <row r="309" spans="16:23" s="44" customFormat="1" ht="15.75" x14ac:dyDescent="0.25">
      <c r="P309" s="46"/>
      <c r="Q309" s="46"/>
      <c r="R309" s="46"/>
      <c r="S309" s="46"/>
      <c r="T309" s="46"/>
      <c r="U309" s="46"/>
      <c r="V309" s="24"/>
      <c r="W309" s="24"/>
    </row>
    <row r="310" spans="16:23" s="44" customFormat="1" ht="15.75" x14ac:dyDescent="0.25">
      <c r="P310" s="46"/>
      <c r="Q310" s="46"/>
      <c r="R310" s="46"/>
      <c r="S310" s="46"/>
      <c r="T310" s="46"/>
      <c r="U310" s="46"/>
      <c r="V310" s="24"/>
      <c r="W310" s="24"/>
    </row>
    <row r="311" spans="16:23" s="44" customFormat="1" ht="15.75" x14ac:dyDescent="0.25">
      <c r="P311" s="46"/>
      <c r="Q311" s="46"/>
      <c r="R311" s="46"/>
      <c r="S311" s="46"/>
      <c r="T311" s="46"/>
      <c r="U311" s="46"/>
      <c r="V311" s="24"/>
      <c r="W311" s="24"/>
    </row>
    <row r="312" spans="16:23" s="44" customFormat="1" ht="15.75" x14ac:dyDescent="0.25">
      <c r="P312" s="46"/>
      <c r="Q312" s="46"/>
      <c r="R312" s="46"/>
      <c r="S312" s="46"/>
      <c r="T312" s="46"/>
      <c r="U312" s="46"/>
      <c r="V312" s="24"/>
      <c r="W312" s="24"/>
    </row>
    <row r="313" spans="16:23" s="44" customFormat="1" ht="15.75" x14ac:dyDescent="0.25">
      <c r="P313" s="46"/>
      <c r="Q313" s="46"/>
      <c r="R313" s="46"/>
      <c r="S313" s="46"/>
      <c r="T313" s="46"/>
      <c r="U313" s="46"/>
      <c r="V313" s="24"/>
      <c r="W313" s="24"/>
    </row>
    <row r="314" spans="16:23" s="44" customFormat="1" ht="15.75" x14ac:dyDescent="0.25">
      <c r="P314" s="46"/>
      <c r="Q314" s="46"/>
      <c r="R314" s="46"/>
      <c r="S314" s="46"/>
      <c r="T314" s="46"/>
      <c r="U314" s="46"/>
      <c r="V314" s="24"/>
      <c r="W314" s="24"/>
    </row>
    <row r="315" spans="16:23" s="44" customFormat="1" ht="15.75" x14ac:dyDescent="0.25">
      <c r="P315" s="46"/>
      <c r="Q315" s="46"/>
      <c r="R315" s="46"/>
      <c r="S315" s="46"/>
      <c r="T315" s="46"/>
      <c r="U315" s="46"/>
      <c r="V315" s="24"/>
      <c r="W315" s="24"/>
    </row>
    <row r="316" spans="16:23" s="44" customFormat="1" ht="15.75" x14ac:dyDescent="0.25">
      <c r="P316" s="46"/>
      <c r="Q316" s="46"/>
      <c r="R316" s="46"/>
      <c r="S316" s="46"/>
      <c r="T316" s="46"/>
      <c r="U316" s="46"/>
      <c r="V316" s="24"/>
      <c r="W316" s="24"/>
    </row>
    <row r="317" spans="16:23" s="44" customFormat="1" ht="15.75" x14ac:dyDescent="0.25">
      <c r="P317" s="46"/>
      <c r="Q317" s="46"/>
      <c r="R317" s="46"/>
      <c r="S317" s="46"/>
      <c r="T317" s="46"/>
      <c r="U317" s="46"/>
      <c r="V317" s="24"/>
      <c r="W317" s="24"/>
    </row>
    <row r="318" spans="16:23" s="44" customFormat="1" ht="15.75" x14ac:dyDescent="0.25">
      <c r="P318" s="46"/>
      <c r="Q318" s="46"/>
      <c r="R318" s="46"/>
      <c r="S318" s="46"/>
      <c r="T318" s="46"/>
      <c r="U318" s="46"/>
      <c r="V318" s="24"/>
      <c r="W318" s="24"/>
    </row>
    <row r="319" spans="16:23" s="44" customFormat="1" ht="15.75" x14ac:dyDescent="0.25">
      <c r="P319" s="46"/>
      <c r="Q319" s="46"/>
      <c r="R319" s="46"/>
      <c r="S319" s="46"/>
      <c r="T319" s="46"/>
      <c r="U319" s="46"/>
      <c r="V319" s="24"/>
      <c r="W319" s="24"/>
    </row>
    <row r="320" spans="16:23" s="44" customFormat="1" ht="15.75" x14ac:dyDescent="0.25">
      <c r="P320" s="46"/>
      <c r="Q320" s="46"/>
      <c r="R320" s="46"/>
      <c r="S320" s="46"/>
      <c r="T320" s="46"/>
      <c r="U320" s="46"/>
      <c r="V320" s="24"/>
      <c r="W320" s="24"/>
    </row>
    <row r="321" spans="16:23" s="44" customFormat="1" ht="15.75" x14ac:dyDescent="0.25">
      <c r="P321" s="46"/>
      <c r="Q321" s="46"/>
      <c r="R321" s="46"/>
      <c r="S321" s="46"/>
      <c r="T321" s="46"/>
      <c r="U321" s="46"/>
      <c r="V321" s="24"/>
      <c r="W321" s="24"/>
    </row>
    <row r="322" spans="16:23" s="44" customFormat="1" ht="15.75" x14ac:dyDescent="0.25">
      <c r="P322" s="46"/>
      <c r="Q322" s="46"/>
      <c r="R322" s="46"/>
      <c r="S322" s="46"/>
      <c r="T322" s="46"/>
      <c r="U322" s="46"/>
      <c r="V322" s="24"/>
      <c r="W322" s="24"/>
    </row>
    <row r="323" spans="16:23" s="44" customFormat="1" ht="15.75" x14ac:dyDescent="0.25">
      <c r="P323" s="46"/>
      <c r="Q323" s="46"/>
      <c r="R323" s="46"/>
      <c r="S323" s="46"/>
      <c r="T323" s="46"/>
      <c r="U323" s="46"/>
      <c r="V323" s="24"/>
      <c r="W323" s="24"/>
    </row>
    <row r="324" spans="16:23" s="44" customFormat="1" ht="15.75" x14ac:dyDescent="0.25">
      <c r="P324" s="46"/>
      <c r="Q324" s="46"/>
      <c r="R324" s="46"/>
      <c r="S324" s="46"/>
      <c r="T324" s="46"/>
      <c r="U324" s="46"/>
      <c r="V324" s="24"/>
      <c r="W324" s="24"/>
    </row>
    <row r="325" spans="16:23" s="44" customFormat="1" ht="15.75" x14ac:dyDescent="0.25">
      <c r="P325" s="46"/>
      <c r="Q325" s="46"/>
      <c r="R325" s="46"/>
      <c r="S325" s="46"/>
      <c r="T325" s="46"/>
      <c r="U325" s="46"/>
      <c r="V325" s="24"/>
      <c r="W325" s="24"/>
    </row>
    <row r="326" spans="16:23" s="44" customFormat="1" ht="15.75" x14ac:dyDescent="0.25">
      <c r="P326" s="46"/>
      <c r="Q326" s="46"/>
      <c r="R326" s="46"/>
      <c r="S326" s="46"/>
      <c r="T326" s="46"/>
      <c r="U326" s="46"/>
      <c r="V326" s="24"/>
      <c r="W326" s="24"/>
    </row>
    <row r="327" spans="16:23" s="44" customFormat="1" ht="15.75" x14ac:dyDescent="0.25">
      <c r="P327" s="46"/>
      <c r="Q327" s="46"/>
      <c r="R327" s="46"/>
      <c r="S327" s="46"/>
      <c r="T327" s="46"/>
      <c r="U327" s="46"/>
      <c r="V327" s="24"/>
      <c r="W327" s="24"/>
    </row>
    <row r="328" spans="16:23" s="44" customFormat="1" ht="15.75" x14ac:dyDescent="0.25">
      <c r="P328" s="46"/>
      <c r="Q328" s="46"/>
      <c r="R328" s="46"/>
      <c r="S328" s="46"/>
      <c r="T328" s="46"/>
      <c r="U328" s="46"/>
      <c r="V328" s="24"/>
      <c r="W328" s="24"/>
    </row>
    <row r="329" spans="16:23" s="44" customFormat="1" ht="15.75" x14ac:dyDescent="0.25">
      <c r="P329" s="46"/>
      <c r="Q329" s="46"/>
      <c r="R329" s="46"/>
      <c r="S329" s="46"/>
      <c r="T329" s="46"/>
      <c r="U329" s="46"/>
      <c r="V329" s="24"/>
      <c r="W329" s="24"/>
    </row>
    <row r="330" spans="16:23" s="44" customFormat="1" ht="15.75" x14ac:dyDescent="0.25">
      <c r="P330" s="46"/>
      <c r="Q330" s="46"/>
      <c r="R330" s="46"/>
      <c r="S330" s="46"/>
      <c r="T330" s="46"/>
      <c r="U330" s="46"/>
      <c r="V330" s="24"/>
      <c r="W330" s="24"/>
    </row>
    <row r="331" spans="16:23" s="44" customFormat="1" ht="15.75" x14ac:dyDescent="0.25">
      <c r="P331" s="46"/>
      <c r="Q331" s="46"/>
      <c r="R331" s="46"/>
      <c r="S331" s="46"/>
      <c r="T331" s="46"/>
      <c r="U331" s="46"/>
      <c r="V331" s="24"/>
      <c r="W331" s="24"/>
    </row>
    <row r="332" spans="16:23" s="44" customFormat="1" ht="15.75" x14ac:dyDescent="0.25">
      <c r="P332" s="46"/>
      <c r="Q332" s="46"/>
      <c r="R332" s="46"/>
      <c r="S332" s="46"/>
      <c r="T332" s="46"/>
      <c r="U332" s="46"/>
      <c r="V332" s="24"/>
      <c r="W332" s="24"/>
    </row>
    <row r="333" spans="16:23" s="44" customFormat="1" ht="15.75" x14ac:dyDescent="0.25">
      <c r="P333" s="46"/>
      <c r="Q333" s="46"/>
      <c r="R333" s="46"/>
      <c r="S333" s="46"/>
      <c r="T333" s="46"/>
      <c r="U333" s="46"/>
      <c r="V333" s="24"/>
      <c r="W333" s="24"/>
    </row>
    <row r="334" spans="16:23" s="44" customFormat="1" ht="15.75" x14ac:dyDescent="0.25">
      <c r="P334" s="46"/>
      <c r="Q334" s="46"/>
      <c r="R334" s="46"/>
      <c r="S334" s="46"/>
      <c r="T334" s="46"/>
      <c r="U334" s="46"/>
      <c r="V334" s="24"/>
      <c r="W334" s="24"/>
    </row>
    <row r="335" spans="16:23" s="44" customFormat="1" ht="15.75" x14ac:dyDescent="0.25">
      <c r="P335" s="46"/>
      <c r="Q335" s="46"/>
      <c r="R335" s="46"/>
      <c r="S335" s="46"/>
      <c r="T335" s="46"/>
      <c r="U335" s="46"/>
      <c r="V335" s="24"/>
      <c r="W335" s="24"/>
    </row>
    <row r="336" spans="16:23" s="44" customFormat="1" ht="15.75" x14ac:dyDescent="0.25">
      <c r="P336" s="46"/>
      <c r="Q336" s="46"/>
      <c r="R336" s="46"/>
      <c r="S336" s="46"/>
      <c r="T336" s="46"/>
      <c r="U336" s="46"/>
      <c r="V336" s="24"/>
      <c r="W336" s="24"/>
    </row>
    <row r="337" spans="16:23" s="44" customFormat="1" ht="15.75" x14ac:dyDescent="0.25">
      <c r="P337" s="46"/>
      <c r="Q337" s="46"/>
      <c r="R337" s="46"/>
      <c r="S337" s="46"/>
      <c r="T337" s="46"/>
      <c r="U337" s="46"/>
      <c r="V337" s="24"/>
      <c r="W337" s="24"/>
    </row>
    <row r="338" spans="16:23" s="44" customFormat="1" ht="15.75" x14ac:dyDescent="0.25">
      <c r="P338" s="46"/>
      <c r="Q338" s="46"/>
      <c r="R338" s="46"/>
      <c r="S338" s="46"/>
      <c r="T338" s="46"/>
      <c r="U338" s="46"/>
      <c r="V338" s="24"/>
      <c r="W338" s="24"/>
    </row>
    <row r="339" spans="16:23" s="44" customFormat="1" ht="15.75" x14ac:dyDescent="0.25">
      <c r="P339" s="46"/>
      <c r="Q339" s="46"/>
      <c r="R339" s="46"/>
      <c r="S339" s="46"/>
      <c r="T339" s="46"/>
      <c r="U339" s="46"/>
      <c r="V339" s="24"/>
      <c r="W339" s="24"/>
    </row>
    <row r="340" spans="16:23" s="44" customFormat="1" ht="15.75" x14ac:dyDescent="0.25">
      <c r="P340" s="46"/>
      <c r="Q340" s="46"/>
      <c r="R340" s="46"/>
      <c r="S340" s="46"/>
      <c r="T340" s="46"/>
      <c r="U340" s="46"/>
      <c r="V340" s="24"/>
      <c r="W340" s="24"/>
    </row>
    <row r="341" spans="16:23" s="44" customFormat="1" ht="15.75" x14ac:dyDescent="0.25">
      <c r="P341" s="46"/>
      <c r="Q341" s="46"/>
      <c r="R341" s="46"/>
      <c r="S341" s="46"/>
      <c r="T341" s="46"/>
      <c r="U341" s="46"/>
      <c r="V341" s="24"/>
      <c r="W341" s="24"/>
    </row>
    <row r="342" spans="16:23" s="44" customFormat="1" ht="15.75" x14ac:dyDescent="0.25">
      <c r="P342" s="46"/>
      <c r="Q342" s="46"/>
      <c r="R342" s="46"/>
      <c r="S342" s="46"/>
      <c r="T342" s="46"/>
      <c r="U342" s="46"/>
      <c r="V342" s="24"/>
      <c r="W342" s="24"/>
    </row>
    <row r="343" spans="16:23" s="44" customFormat="1" ht="15.75" x14ac:dyDescent="0.25">
      <c r="P343" s="46"/>
      <c r="Q343" s="46"/>
      <c r="R343" s="46"/>
      <c r="S343" s="46"/>
      <c r="T343" s="46"/>
      <c r="U343" s="46"/>
      <c r="V343" s="24"/>
      <c r="W343" s="24"/>
    </row>
    <row r="344" spans="16:23" s="44" customFormat="1" ht="15.75" x14ac:dyDescent="0.25">
      <c r="P344" s="46"/>
      <c r="Q344" s="46"/>
      <c r="R344" s="46"/>
      <c r="S344" s="46"/>
      <c r="T344" s="46"/>
      <c r="U344" s="46"/>
      <c r="V344" s="24"/>
      <c r="W344" s="24"/>
    </row>
    <row r="345" spans="16:23" s="44" customFormat="1" ht="15.75" x14ac:dyDescent="0.25">
      <c r="P345" s="46"/>
      <c r="Q345" s="46"/>
      <c r="R345" s="46"/>
      <c r="S345" s="46"/>
      <c r="T345" s="46"/>
      <c r="U345" s="46"/>
      <c r="V345" s="24"/>
      <c r="W345" s="24"/>
    </row>
    <row r="346" spans="16:23" s="44" customFormat="1" ht="15.75" x14ac:dyDescent="0.25">
      <c r="P346" s="46"/>
      <c r="Q346" s="46"/>
      <c r="R346" s="46"/>
      <c r="S346" s="46"/>
      <c r="T346" s="46"/>
      <c r="U346" s="46"/>
      <c r="V346" s="24"/>
      <c r="W346" s="24"/>
    </row>
    <row r="347" spans="16:23" s="44" customFormat="1" ht="15.75" x14ac:dyDescent="0.25">
      <c r="P347" s="46"/>
      <c r="Q347" s="46"/>
      <c r="R347" s="46"/>
      <c r="S347" s="46"/>
      <c r="T347" s="46"/>
      <c r="U347" s="46"/>
      <c r="V347" s="24"/>
      <c r="W347" s="24"/>
    </row>
    <row r="348" spans="16:23" s="44" customFormat="1" ht="15.75" x14ac:dyDescent="0.25">
      <c r="P348" s="46"/>
      <c r="Q348" s="46"/>
      <c r="R348" s="46"/>
      <c r="S348" s="46"/>
      <c r="T348" s="46"/>
      <c r="U348" s="46"/>
      <c r="V348" s="24"/>
      <c r="W348" s="24"/>
    </row>
    <row r="349" spans="16:23" s="44" customFormat="1" ht="15.75" x14ac:dyDescent="0.25">
      <c r="P349" s="46"/>
      <c r="Q349" s="46"/>
      <c r="R349" s="46"/>
      <c r="S349" s="46"/>
      <c r="T349" s="46"/>
      <c r="U349" s="46"/>
      <c r="V349" s="24"/>
      <c r="W349" s="24"/>
    </row>
    <row r="350" spans="16:23" s="44" customFormat="1" ht="15.75" x14ac:dyDescent="0.25">
      <c r="P350" s="46"/>
      <c r="Q350" s="46"/>
      <c r="R350" s="46"/>
      <c r="S350" s="46"/>
      <c r="T350" s="46"/>
      <c r="U350" s="46"/>
      <c r="V350" s="24"/>
      <c r="W350" s="24"/>
    </row>
    <row r="351" spans="16:23" s="44" customFormat="1" ht="15.75" x14ac:dyDescent="0.25">
      <c r="P351" s="24"/>
      <c r="Q351" s="24"/>
      <c r="R351" s="24"/>
      <c r="S351" s="24"/>
      <c r="T351" s="24"/>
      <c r="U351" s="24"/>
      <c r="V351" s="24"/>
      <c r="W351" s="24"/>
    </row>
    <row r="352" spans="16:23" s="44" customFormat="1" ht="15.75" x14ac:dyDescent="0.25">
      <c r="P352" s="24"/>
      <c r="Q352" s="24"/>
      <c r="R352" s="24"/>
      <c r="S352" s="24"/>
      <c r="T352" s="24"/>
      <c r="U352" s="24"/>
      <c r="V352" s="24"/>
      <c r="W352" s="24"/>
    </row>
    <row r="353" spans="16:23" s="44" customFormat="1" ht="15.75" x14ac:dyDescent="0.25">
      <c r="P353" s="24"/>
      <c r="Q353" s="24"/>
      <c r="R353" s="24"/>
      <c r="S353" s="24"/>
      <c r="T353" s="24"/>
      <c r="U353" s="24"/>
      <c r="V353" s="24"/>
      <c r="W353" s="24"/>
    </row>
    <row r="354" spans="16:23" s="44" customFormat="1" ht="15.75" x14ac:dyDescent="0.25">
      <c r="P354" s="24"/>
      <c r="Q354" s="24"/>
      <c r="R354" s="24"/>
      <c r="S354" s="24"/>
      <c r="T354" s="24"/>
      <c r="U354" s="24"/>
      <c r="V354" s="24"/>
      <c r="W354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262B5-9D5F-40F1-BBC6-7E22D3E502BD}">
  <sheetPr>
    <tabColor rgb="FF00FF00"/>
  </sheetPr>
  <dimension ref="A1:L25"/>
  <sheetViews>
    <sheetView workbookViewId="0">
      <selection activeCell="H16" sqref="H16"/>
    </sheetView>
  </sheetViews>
  <sheetFormatPr defaultRowHeight="15" x14ac:dyDescent="0.25"/>
  <cols>
    <col min="2" max="2" width="39.28515625" customWidth="1"/>
    <col min="3" max="4" width="15.85546875" bestFit="1" customWidth="1"/>
    <col min="5" max="5" width="17.42578125" bestFit="1" customWidth="1"/>
    <col min="6" max="6" width="35.7109375" bestFit="1" customWidth="1"/>
    <col min="7" max="7" width="3.7109375" customWidth="1"/>
    <col min="8" max="9" width="15.28515625" bestFit="1" customWidth="1"/>
    <col min="10" max="11" width="15.7109375" customWidth="1"/>
    <col min="12" max="12" width="13.5703125" customWidth="1"/>
    <col min="15" max="15" width="15.28515625" customWidth="1"/>
    <col min="16" max="18" width="10.7109375" bestFit="1" customWidth="1"/>
  </cols>
  <sheetData>
    <row r="1" spans="1:12" ht="18.75" x14ac:dyDescent="0.3">
      <c r="F1" s="146" t="s">
        <v>652</v>
      </c>
      <c r="G1" s="146"/>
    </row>
    <row r="2" spans="1:12" ht="18.75" x14ac:dyDescent="0.3">
      <c r="A2" s="79" t="s">
        <v>95</v>
      </c>
      <c r="F2" s="23" t="s">
        <v>653</v>
      </c>
      <c r="G2" s="23"/>
    </row>
    <row r="3" spans="1:12" ht="18.75" x14ac:dyDescent="0.3">
      <c r="A3" s="79" t="s">
        <v>276</v>
      </c>
    </row>
    <row r="4" spans="1:12" ht="18.75" x14ac:dyDescent="0.3">
      <c r="A4" s="79" t="s">
        <v>654</v>
      </c>
    </row>
    <row r="5" spans="1:12" ht="18.75" x14ac:dyDescent="0.3">
      <c r="A5" s="79" t="s">
        <v>655</v>
      </c>
    </row>
    <row r="7" spans="1:12" ht="15.75" x14ac:dyDescent="0.25">
      <c r="C7" s="268">
        <v>45658</v>
      </c>
      <c r="D7" s="268">
        <v>45839</v>
      </c>
      <c r="E7" s="268">
        <v>46204</v>
      </c>
      <c r="H7" s="268">
        <v>45658</v>
      </c>
      <c r="I7" s="268">
        <v>46023</v>
      </c>
      <c r="J7" s="268">
        <v>46388</v>
      </c>
      <c r="K7" s="269"/>
      <c r="L7" s="269"/>
    </row>
    <row r="8" spans="1:12" ht="15.75" x14ac:dyDescent="0.25">
      <c r="C8" s="2" t="s">
        <v>656</v>
      </c>
      <c r="D8" s="2" t="s">
        <v>656</v>
      </c>
      <c r="E8" s="2" t="s">
        <v>656</v>
      </c>
      <c r="H8" s="2" t="s">
        <v>656</v>
      </c>
      <c r="I8" s="2" t="s">
        <v>656</v>
      </c>
      <c r="J8" s="2" t="s">
        <v>656</v>
      </c>
      <c r="K8" s="24"/>
      <c r="L8" s="24"/>
    </row>
    <row r="9" spans="1:12" ht="15.75" x14ac:dyDescent="0.25">
      <c r="A9" s="175" t="s">
        <v>657</v>
      </c>
      <c r="C9" s="270">
        <v>45838</v>
      </c>
      <c r="D9" s="270">
        <v>46203</v>
      </c>
      <c r="E9" s="270">
        <v>46568</v>
      </c>
      <c r="F9" s="175" t="s">
        <v>658</v>
      </c>
      <c r="G9" s="175"/>
      <c r="H9" s="270">
        <v>46022</v>
      </c>
      <c r="I9" s="270">
        <v>46387</v>
      </c>
      <c r="J9" s="270">
        <v>46752</v>
      </c>
      <c r="K9" s="271"/>
      <c r="L9" s="271"/>
    </row>
    <row r="10" spans="1:12" ht="15.75" x14ac:dyDescent="0.25">
      <c r="B10" s="175" t="s">
        <v>7</v>
      </c>
      <c r="I10" s="44"/>
      <c r="J10" s="44"/>
      <c r="K10" s="44"/>
      <c r="L10" s="44"/>
    </row>
    <row r="11" spans="1:12" ht="15.75" x14ac:dyDescent="0.25">
      <c r="A11" s="1">
        <v>1</v>
      </c>
      <c r="B11" t="s">
        <v>69</v>
      </c>
      <c r="C11" s="99">
        <f>SUM('CAP-3 EE&amp;C'!H16:I27)</f>
        <v>388574.66000000003</v>
      </c>
      <c r="D11" s="99">
        <f>SUM('CAP-3 EE&amp;C'!H28:I39)</f>
        <v>11969366.021313665</v>
      </c>
      <c r="E11" s="99">
        <f>SUM('CAP-3 EE&amp;C'!H40:I51)</f>
        <v>34199046.243916422</v>
      </c>
      <c r="F11" t="s">
        <v>659</v>
      </c>
      <c r="H11" s="99">
        <f>SUM('CAP-3 EE&amp;C'!H16:I33)</f>
        <v>3841180.0950290593</v>
      </c>
      <c r="I11" s="99">
        <f>SUM('CAP-3 EE&amp;C'!H34:I45)</f>
        <v>22742484.037748475</v>
      </c>
      <c r="J11" s="99">
        <f>SUM('CAP-3 EE&amp;C'!H46:I57)</f>
        <v>42341478.64365036</v>
      </c>
      <c r="K11" s="47">
        <f>SUM(H11:J11)</f>
        <v>68925142.776427895</v>
      </c>
      <c r="L11" s="44"/>
    </row>
    <row r="12" spans="1:12" ht="15.75" x14ac:dyDescent="0.25">
      <c r="A12" s="1">
        <v>2</v>
      </c>
      <c r="B12" t="s">
        <v>70</v>
      </c>
      <c r="C12" s="100">
        <f>SUM('CAP-3 EE&amp;C'!R16:R27)</f>
        <v>324164.52283024008</v>
      </c>
      <c r="D12" s="100">
        <f>SUM('CAP-3 EE&amp;C'!R28:R39)</f>
        <v>10261653.779990714</v>
      </c>
      <c r="E12" s="100">
        <f>SUM('CAP-3 EE&amp;C'!R40:R51)</f>
        <v>28770844.194647111</v>
      </c>
      <c r="F12" t="s">
        <v>660</v>
      </c>
      <c r="H12" s="100">
        <f>SUM('CAP-3 EE&amp;C'!R16:R33)</f>
        <v>3056710.9708858095</v>
      </c>
      <c r="I12" s="100">
        <f>SUM('CAP-3 EE&amp;C'!R34:R45)</f>
        <v>19734303.858541373</v>
      </c>
      <c r="J12" s="100">
        <f>SUM('CAP-3 EE&amp;C'!R46:R57)</f>
        <v>34994444.567629397</v>
      </c>
      <c r="K12" s="47">
        <f>SUM(H12:J12)</f>
        <v>57785459.39705658</v>
      </c>
      <c r="L12" s="272"/>
    </row>
    <row r="13" spans="1:12" ht="15.75" x14ac:dyDescent="0.25">
      <c r="A13" s="1">
        <v>3</v>
      </c>
      <c r="B13" t="s">
        <v>71</v>
      </c>
      <c r="C13" s="38">
        <f>SUM('CAP-3 EE&amp;C'!S16:S27)</f>
        <v>2243888.41</v>
      </c>
      <c r="D13" s="38">
        <f>SUM('CAP-3 EE&amp;C'!S28:S39)</f>
        <v>15025285.075540213</v>
      </c>
      <c r="E13" s="38">
        <f>SUM('CAP-3 EE&amp;C'!S40:S51)</f>
        <v>13442000.559215119</v>
      </c>
      <c r="F13" t="s">
        <v>661</v>
      </c>
      <c r="H13" s="38">
        <f>SUM('CAP-3 EE&amp;C'!S16:S33)</f>
        <v>10645678.37222003</v>
      </c>
      <c r="I13" s="38">
        <f>SUM('CAP-3 EE&amp;C'!S34:S45)</f>
        <v>13344495.39292774</v>
      </c>
      <c r="J13" s="38">
        <f>SUM('CAP-3 EE&amp;C'!S46:S57)</f>
        <v>6721000.2796075614</v>
      </c>
      <c r="K13" s="47">
        <f>SUM(H13:J13)</f>
        <v>30711174.044755328</v>
      </c>
      <c r="L13" s="273"/>
    </row>
    <row r="14" spans="1:12" ht="18" x14ac:dyDescent="0.4">
      <c r="A14" s="1">
        <v>4</v>
      </c>
      <c r="B14" t="s">
        <v>662</v>
      </c>
      <c r="C14" s="112">
        <v>0</v>
      </c>
      <c r="D14" s="112">
        <v>0</v>
      </c>
      <c r="E14" s="112">
        <v>0</v>
      </c>
      <c r="H14" s="112">
        <v>0</v>
      </c>
      <c r="I14" s="112">
        <v>0</v>
      </c>
      <c r="J14" s="112">
        <v>0</v>
      </c>
      <c r="K14" s="67"/>
      <c r="L14" s="67"/>
    </row>
    <row r="15" spans="1:12" x14ac:dyDescent="0.25">
      <c r="A15" s="1">
        <v>5</v>
      </c>
      <c r="B15" t="s">
        <v>663</v>
      </c>
      <c r="C15" s="99">
        <f>SUM(C11:C14)</f>
        <v>2956627.5928302403</v>
      </c>
      <c r="D15" s="99">
        <f>SUM(D11:D14)</f>
        <v>37256304.876844592</v>
      </c>
      <c r="E15" s="99">
        <f>SUM(E11:E14)</f>
        <v>76411890.997778654</v>
      </c>
      <c r="F15" t="s">
        <v>664</v>
      </c>
      <c r="H15" s="99">
        <f>SUM(H11:H14)</f>
        <v>17543569.438134901</v>
      </c>
      <c r="I15" s="99">
        <f>SUM(I11:I14)</f>
        <v>55821283.289217591</v>
      </c>
      <c r="J15" s="99">
        <f>SUM(J11:J14)</f>
        <v>84056923.490887314</v>
      </c>
    </row>
    <row r="16" spans="1:12" x14ac:dyDescent="0.25">
      <c r="A16" s="1">
        <v>6</v>
      </c>
      <c r="B16" t="s">
        <v>665</v>
      </c>
      <c r="C16" s="100">
        <f>'10+2 Forecast'!AH29</f>
        <v>9376043343.1826477</v>
      </c>
      <c r="D16" s="100">
        <f>'10+2 Forecast'!AH41</f>
        <v>19789460382.55098</v>
      </c>
      <c r="E16" s="100">
        <f>'10+2 Forecast'!AH53</f>
        <v>19427505428.401234</v>
      </c>
      <c r="H16" s="100">
        <f>'10+2 Forecast'!AI35</f>
        <v>19966846008.181843</v>
      </c>
      <c r="I16" s="100">
        <f>'10+2 Forecast'!AI47</f>
        <v>19620479472.545158</v>
      </c>
      <c r="J16" s="100">
        <f>'10+2 Forecast'!AI59</f>
        <v>19255372455.80999</v>
      </c>
      <c r="K16" s="3"/>
    </row>
    <row r="17" spans="1:11" x14ac:dyDescent="0.25">
      <c r="A17" s="1">
        <v>7</v>
      </c>
      <c r="B17" t="s">
        <v>666</v>
      </c>
      <c r="C17" s="274">
        <f>ROUND(C15/C16,6)</f>
        <v>3.1500000000000001E-4</v>
      </c>
      <c r="D17" s="274">
        <f>ROUND(D15/D16,6)</f>
        <v>1.8829999999999999E-3</v>
      </c>
      <c r="E17" s="274">
        <f>ROUND(E15/E16,6)</f>
        <v>3.9329999999999999E-3</v>
      </c>
      <c r="F17" t="s">
        <v>667</v>
      </c>
      <c r="H17" s="274">
        <f>ROUND(H15/H16,6)</f>
        <v>8.7900000000000001E-4</v>
      </c>
      <c r="I17" s="274">
        <f>ROUND(I15/I16,6)</f>
        <v>2.8449999999999999E-3</v>
      </c>
      <c r="J17" s="274">
        <f>ROUND(J15/J16,6)</f>
        <v>4.365E-3</v>
      </c>
      <c r="K17" s="3"/>
    </row>
    <row r="18" spans="1:11" x14ac:dyDescent="0.25">
      <c r="A18" s="1">
        <v>8</v>
      </c>
      <c r="B18" s="3" t="s">
        <v>668</v>
      </c>
      <c r="C18" s="275">
        <f>ROUND(C17*(1+0.06625),6)</f>
        <v>3.3599999999999998E-4</v>
      </c>
      <c r="D18" s="276">
        <f>ROUND(D17*(1+0.06625),6)</f>
        <v>2.0079999999999998E-3</v>
      </c>
      <c r="E18" s="277">
        <f>ROUND(E17*(1+0.06625),6)</f>
        <v>4.1939999999999998E-3</v>
      </c>
      <c r="F18" t="s">
        <v>669</v>
      </c>
      <c r="H18" s="275">
        <f>ROUND(H17*(1+0.06625),6)</f>
        <v>9.3700000000000001E-4</v>
      </c>
      <c r="I18" s="276">
        <f>ROUND(I17*(1+0.06625),6)</f>
        <v>3.0330000000000001E-3</v>
      </c>
      <c r="J18" s="277">
        <f>ROUND(J17*(1+0.06625),6)</f>
        <v>4.6540000000000002E-3</v>
      </c>
      <c r="K18" s="3"/>
    </row>
    <row r="19" spans="1:11" x14ac:dyDescent="0.25">
      <c r="A19" s="1">
        <v>9</v>
      </c>
      <c r="B19" t="s">
        <v>670</v>
      </c>
      <c r="C19" s="99">
        <f>+C18*C16</f>
        <v>3150350.5633093696</v>
      </c>
      <c r="D19" s="99">
        <f>+D18*D16</f>
        <v>39737236.448162362</v>
      </c>
      <c r="E19" s="99">
        <f>+E18*E16</f>
        <v>81478957.766714767</v>
      </c>
      <c r="F19" t="s">
        <v>671</v>
      </c>
      <c r="H19" s="99">
        <f>+H18*H16</f>
        <v>18708934.709666386</v>
      </c>
      <c r="I19" s="99">
        <f>+I18*I16</f>
        <v>59508914.240229465</v>
      </c>
      <c r="J19" s="99">
        <f>+J18*J16</f>
        <v>89614503.409339696</v>
      </c>
    </row>
    <row r="20" spans="1:11" x14ac:dyDescent="0.25">
      <c r="A20" s="1"/>
      <c r="C20" s="278"/>
      <c r="D20" s="278"/>
      <c r="E20" s="278"/>
    </row>
    <row r="21" spans="1:11" x14ac:dyDescent="0.25">
      <c r="A21" s="1"/>
      <c r="B21" s="3"/>
      <c r="C21" s="279"/>
      <c r="D21" s="279"/>
      <c r="E21" s="279"/>
    </row>
    <row r="22" spans="1:11" x14ac:dyDescent="0.25">
      <c r="A22" s="1"/>
      <c r="C22" s="278"/>
      <c r="D22" s="278"/>
      <c r="E22" s="278"/>
    </row>
    <row r="23" spans="1:11" x14ac:dyDescent="0.25">
      <c r="A23" s="1"/>
      <c r="B23" s="3"/>
      <c r="C23" s="279"/>
      <c r="D23" s="279"/>
      <c r="E23" s="279"/>
    </row>
    <row r="24" spans="1:11" x14ac:dyDescent="0.25">
      <c r="A24" s="1"/>
      <c r="C24" s="13"/>
      <c r="D24" s="13"/>
      <c r="E24" s="13"/>
    </row>
    <row r="25" spans="1:11" x14ac:dyDescent="0.25">
      <c r="A25" s="1"/>
      <c r="C25" s="13"/>
      <c r="D25" s="13"/>
      <c r="E25" s="1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9B0AE-3B2B-4828-9F44-200C1539B670}">
  <sheetPr>
    <tabColor rgb="FF00FF00"/>
  </sheetPr>
  <dimension ref="A1:J42"/>
  <sheetViews>
    <sheetView workbookViewId="0">
      <selection activeCell="A2" sqref="A2"/>
    </sheetView>
  </sheetViews>
  <sheetFormatPr defaultRowHeight="15" x14ac:dyDescent="0.25"/>
  <cols>
    <col min="1" max="1" width="54.85546875" bestFit="1" customWidth="1"/>
    <col min="2" max="2" width="12.140625" hidden="1" customWidth="1"/>
    <col min="3" max="3" width="15.42578125" bestFit="1" customWidth="1"/>
    <col min="4" max="4" width="16.85546875" bestFit="1" customWidth="1"/>
    <col min="5" max="5" width="17.7109375" customWidth="1"/>
    <col min="7" max="7" width="36.85546875" bestFit="1" customWidth="1"/>
    <col min="8" max="8" width="16.42578125" bestFit="1" customWidth="1"/>
    <col min="9" max="9" width="14" bestFit="1" customWidth="1"/>
    <col min="10" max="10" width="15.140625" bestFit="1" customWidth="1"/>
  </cols>
  <sheetData>
    <row r="1" spans="1:10" ht="18.75" x14ac:dyDescent="0.3">
      <c r="E1" s="146" t="s">
        <v>672</v>
      </c>
    </row>
    <row r="2" spans="1:10" ht="18.75" x14ac:dyDescent="0.3">
      <c r="A2" s="79" t="s">
        <v>95</v>
      </c>
      <c r="E2" s="23" t="s">
        <v>673</v>
      </c>
    </row>
    <row r="3" spans="1:10" ht="18.75" x14ac:dyDescent="0.3">
      <c r="A3" s="79" t="s">
        <v>276</v>
      </c>
    </row>
    <row r="4" spans="1:10" ht="18.75" x14ac:dyDescent="0.3">
      <c r="A4" s="79" t="s">
        <v>674</v>
      </c>
    </row>
    <row r="5" spans="1:10" ht="18.75" x14ac:dyDescent="0.3">
      <c r="A5" s="79" t="s">
        <v>675</v>
      </c>
    </row>
    <row r="7" spans="1:10" ht="18.75" x14ac:dyDescent="0.3">
      <c r="A7" s="280" t="s">
        <v>676</v>
      </c>
      <c r="C7" s="540" t="s">
        <v>677</v>
      </c>
      <c r="D7" s="540"/>
      <c r="E7" s="540"/>
      <c r="H7" s="540" t="s">
        <v>678</v>
      </c>
      <c r="I7" s="540"/>
      <c r="J7" s="540"/>
    </row>
    <row r="8" spans="1:10" ht="15.75" x14ac:dyDescent="0.25">
      <c r="C8" s="281">
        <v>45838</v>
      </c>
      <c r="D8" s="281">
        <v>46203</v>
      </c>
      <c r="E8" s="281">
        <v>46568</v>
      </c>
      <c r="H8" s="282" t="s">
        <v>679</v>
      </c>
      <c r="I8" s="282" t="s">
        <v>680</v>
      </c>
      <c r="J8" s="282" t="s">
        <v>681</v>
      </c>
    </row>
    <row r="10" spans="1:10" s="44" customFormat="1" ht="15.75" x14ac:dyDescent="0.25">
      <c r="A10" s="44" t="s">
        <v>682</v>
      </c>
      <c r="C10" s="138">
        <f>+'CAP-4 Rate Calculation'!C19</f>
        <v>3150350.5633093696</v>
      </c>
      <c r="D10" s="138">
        <f>+'CAP-4 Rate Calculation'!D19</f>
        <v>39737236.448162362</v>
      </c>
      <c r="E10" s="138">
        <f>+'CAP-4 Rate Calculation'!E19</f>
        <v>81478957.766714767</v>
      </c>
      <c r="G10" s="44" t="str">
        <f t="shared" ref="G10:G21" si="0">A10</f>
        <v>Operating Revenues w/ SUT</v>
      </c>
      <c r="H10" s="138">
        <f>'CAP-4 Rate Calculation'!H19</f>
        <v>18708934.709666386</v>
      </c>
      <c r="I10" s="138">
        <f>'CAP-4 Rate Calculation'!I19</f>
        <v>59508914.240229465</v>
      </c>
      <c r="J10" s="138">
        <f>'CAP-4 Rate Calculation'!J19</f>
        <v>89614503.409339696</v>
      </c>
    </row>
    <row r="11" spans="1:10" s="44" customFormat="1" ht="18" x14ac:dyDescent="0.4">
      <c r="A11" s="283" t="s">
        <v>683</v>
      </c>
      <c r="C11" s="284">
        <f>'CAP-4 Rate Calculation'!C16*'CAP-4 Rate Calculation'!C17-'CAP-4 Rate Calculation'!C19</f>
        <v>-196896.91020683525</v>
      </c>
      <c r="D11" s="284">
        <f>'CAP-4 Rate Calculation'!D16*'CAP-4 Rate Calculation'!D17-'CAP-4 Rate Calculation'!D19</f>
        <v>-2473682.5478188694</v>
      </c>
      <c r="E11" s="284">
        <f>'CAP-4 Rate Calculation'!E16*'CAP-4 Rate Calculation'!E17-'CAP-4 Rate Calculation'!E19</f>
        <v>-5070578.9168127179</v>
      </c>
      <c r="G11" s="283" t="str">
        <f t="shared" si="0"/>
        <v>less SUT</v>
      </c>
      <c r="H11" s="284">
        <f>'CAP-4 Rate Calculation'!H16*'CAP-4 Rate Calculation'!H17-'CAP-4 Rate Calculation'!H19</f>
        <v>-1158077.0684745461</v>
      </c>
      <c r="I11" s="284">
        <f>'CAP-4 Rate Calculation'!I16*'CAP-4 Rate Calculation'!I17-'CAP-4 Rate Calculation'!I19</f>
        <v>-3688650.1408384889</v>
      </c>
      <c r="J11" s="284">
        <f>'CAP-4 Rate Calculation'!J16*'CAP-4 Rate Calculation'!J17-'CAP-4 Rate Calculation'!J19</f>
        <v>-5564802.6397290975</v>
      </c>
    </row>
    <row r="12" spans="1:10" s="44" customFormat="1" ht="15.75" x14ac:dyDescent="0.25">
      <c r="A12" s="4" t="s">
        <v>684</v>
      </c>
      <c r="B12" s="4"/>
      <c r="C12" s="285">
        <f>SUM(C10:C11)</f>
        <v>2953453.6531025344</v>
      </c>
      <c r="D12" s="285">
        <f>SUM(D10:D11)</f>
        <v>37263553.900343493</v>
      </c>
      <c r="E12" s="285">
        <f>SUM(E10:E11)</f>
        <v>76408378.849902049</v>
      </c>
      <c r="G12" s="4" t="str">
        <f t="shared" si="0"/>
        <v>Net Operating Revenues</v>
      </c>
      <c r="H12" s="285">
        <f>SUM(H10:H11)</f>
        <v>17550857.64119184</v>
      </c>
      <c r="I12" s="285">
        <f>SUM(I10:I11)</f>
        <v>55820264.099390976</v>
      </c>
      <c r="J12" s="285">
        <f>SUM(J10:J11)</f>
        <v>84049700.769610599</v>
      </c>
    </row>
    <row r="13" spans="1:10" s="44" customFormat="1" ht="15.75" x14ac:dyDescent="0.25">
      <c r="A13" s="286" t="s">
        <v>685</v>
      </c>
      <c r="G13" s="286" t="str">
        <f t="shared" si="0"/>
        <v>Operating Expenses</v>
      </c>
      <c r="H13" s="67"/>
    </row>
    <row r="14" spans="1:10" s="44" customFormat="1" ht="15.75" x14ac:dyDescent="0.25">
      <c r="A14" s="283" t="s">
        <v>686</v>
      </c>
      <c r="C14" s="138">
        <f>SUM('CAP-2 Program Expenses'!F31:F42)</f>
        <v>6403420.371756467</v>
      </c>
      <c r="D14" s="138">
        <f>SUM('CAP-2 Program Expenses'!F43:F54)</f>
        <v>13246990.226640364</v>
      </c>
      <c r="E14" s="138">
        <f>SUM('CAP-2 Program Expenses'!F55:F66)</f>
        <v>13442000.559215119</v>
      </c>
      <c r="G14" s="283" t="str">
        <f t="shared" si="0"/>
        <v>Operating &amp; Maintenance Expense</v>
      </c>
      <c r="H14" s="138">
        <f>'CAP-2 Program Expenses'!I43</f>
        <v>13026915.485076649</v>
      </c>
      <c r="I14" s="138">
        <f>'CAP-2 Program Expenses'!J43</f>
        <v>13344495.39292774</v>
      </c>
      <c r="J14" s="138">
        <f>'CAP-2 Program Expenses'!K43</f>
        <v>6721000.2796075614</v>
      </c>
    </row>
    <row r="15" spans="1:10" s="44" customFormat="1" ht="18" x14ac:dyDescent="0.4">
      <c r="A15" s="283" t="s">
        <v>69</v>
      </c>
      <c r="C15" s="284">
        <f>SUM('CAP-3 EE&amp;C'!H16:I27)</f>
        <v>388574.66000000003</v>
      </c>
      <c r="D15" s="284">
        <f>SUM('CAP-3 EE&amp;C'!H28:I39)</f>
        <v>11969366.021313665</v>
      </c>
      <c r="E15" s="284">
        <f>SUM('CAP-3 EE&amp;C'!H40:I51)</f>
        <v>34199046.243916422</v>
      </c>
      <c r="G15" s="283" t="str">
        <f t="shared" si="0"/>
        <v>Amortization Expense</v>
      </c>
      <c r="H15" s="284">
        <f>SUM('CAP-3 EE&amp;C'!H16:I33)</f>
        <v>3841180.0950290593</v>
      </c>
      <c r="I15" s="284">
        <f>SUM('CAP-3 EE&amp;C'!H34:I45)</f>
        <v>22742484.037748475</v>
      </c>
      <c r="J15" s="284">
        <f>SUM('CAP-3 EE&amp;C'!H46:I57)</f>
        <v>42341478.64365036</v>
      </c>
    </row>
    <row r="16" spans="1:10" s="44" customFormat="1" ht="18" x14ac:dyDescent="0.4">
      <c r="A16" s="4" t="s">
        <v>687</v>
      </c>
      <c r="B16" s="4"/>
      <c r="C16" s="287">
        <f>SUM(C14:C15)</f>
        <v>6791995.0317564672</v>
      </c>
      <c r="D16" s="287">
        <f>SUM(D14:D15)</f>
        <v>25216356.24795403</v>
      </c>
      <c r="E16" s="287">
        <f>SUM(E14:E15)</f>
        <v>47641046.803131543</v>
      </c>
      <c r="G16" s="4" t="str">
        <f t="shared" si="0"/>
        <v>Total Operating Expense</v>
      </c>
      <c r="H16" s="287">
        <f>SUM(H14:H15)</f>
        <v>16868095.580105707</v>
      </c>
      <c r="I16" s="287">
        <f>SUM(I14:I15)</f>
        <v>36086979.430676214</v>
      </c>
      <c r="J16" s="287">
        <f>SUM(J14:J15)</f>
        <v>49062478.923257925</v>
      </c>
    </row>
    <row r="17" spans="1:10" s="44" customFormat="1" ht="15.75" x14ac:dyDescent="0.25">
      <c r="A17" s="4" t="s">
        <v>688</v>
      </c>
      <c r="B17" s="4"/>
      <c r="C17" s="288">
        <f>+C12-C16</f>
        <v>-3838541.3786539328</v>
      </c>
      <c r="D17" s="288">
        <f>+D12-D16</f>
        <v>12047197.652389463</v>
      </c>
      <c r="E17" s="288">
        <f>+E12-E16</f>
        <v>28767332.046770506</v>
      </c>
      <c r="G17" s="4" t="str">
        <f t="shared" si="0"/>
        <v>Operating Income</v>
      </c>
      <c r="H17" s="288">
        <f>+H12-H16</f>
        <v>682762.06108613312</v>
      </c>
      <c r="I17" s="288">
        <f>+I12-I16</f>
        <v>19733284.668714762</v>
      </c>
      <c r="J17" s="288">
        <f>+J12-J16</f>
        <v>34987221.846352674</v>
      </c>
    </row>
    <row r="18" spans="1:10" s="44" customFormat="1" ht="18" x14ac:dyDescent="0.4">
      <c r="A18" s="283" t="s">
        <v>689</v>
      </c>
      <c r="C18" s="284">
        <f>SUM('CAP-3 EE&amp;C'!W16:W27)</f>
        <v>78111.933212106029</v>
      </c>
      <c r="D18" s="284">
        <f>SUM('CAP-3 EE&amp;C'!W28:W39)</f>
        <v>2472687.6578290882</v>
      </c>
      <c r="E18" s="284">
        <f>SUM('CAP-3 EE&amp;C'!W40:W51)</f>
        <v>6932733.540878823</v>
      </c>
      <c r="G18" s="283" t="str">
        <f t="shared" si="0"/>
        <v>Interest Expense</v>
      </c>
      <c r="H18" s="284">
        <f>SUM('CAP-3 EE&amp;C'!W16:W33)</f>
        <v>736556.86045441194</v>
      </c>
      <c r="I18" s="284">
        <f>SUM('CAP-3 EE&amp;C'!W34:W45)</f>
        <v>4755253.9418171979</v>
      </c>
      <c r="J18" s="284">
        <f>SUM('CAP-3 EE&amp;C'!W46:W57)</f>
        <v>8432396.2813564818</v>
      </c>
    </row>
    <row r="19" spans="1:10" s="44" customFormat="1" ht="15.75" x14ac:dyDescent="0.25">
      <c r="A19" s="4" t="s">
        <v>690</v>
      </c>
      <c r="B19" s="4"/>
      <c r="C19" s="289">
        <f>+C17-C18</f>
        <v>-3916653.3118660389</v>
      </c>
      <c r="D19" s="289">
        <f>+D17-D18</f>
        <v>9574509.9945603758</v>
      </c>
      <c r="E19" s="289">
        <f>+E17-E18</f>
        <v>21834598.505891681</v>
      </c>
      <c r="G19" s="4" t="str">
        <f t="shared" si="0"/>
        <v>Income before Income Taxes</v>
      </c>
      <c r="H19" s="289">
        <f>+H17-H18</f>
        <v>-53794.799368278822</v>
      </c>
      <c r="I19" s="289">
        <f>+I17-I18</f>
        <v>14978030.726897564</v>
      </c>
      <c r="J19" s="289">
        <f>+J17-J18</f>
        <v>26554825.56499619</v>
      </c>
    </row>
    <row r="20" spans="1:10" s="44" customFormat="1" ht="18" x14ac:dyDescent="0.4">
      <c r="A20" s="283" t="s">
        <v>691</v>
      </c>
      <c r="C20" s="284">
        <f>-+C19*'CAP-1 WACC'!$C$18</f>
        <v>1100971.2459655437</v>
      </c>
      <c r="D20" s="284">
        <f>-+D19*'CAP-1 WACC'!$C$18</f>
        <v>-2691394.7594709219</v>
      </c>
      <c r="E20" s="284">
        <f>-+E19*'CAP-1 WACC'!$C$18</f>
        <v>-6137705.640006152</v>
      </c>
      <c r="G20" s="283" t="str">
        <f t="shared" si="0"/>
        <v>Income Tax Expense</v>
      </c>
      <c r="H20" s="284">
        <f>-+H19*'CAP-1 WACC'!$C$18</f>
        <v>15121.718102423178</v>
      </c>
      <c r="I20" s="284">
        <f>-+I19*'CAP-1 WACC'!$C$18</f>
        <v>-4210324.4373309053</v>
      </c>
      <c r="J20" s="284">
        <f>-+J19*'CAP-1 WACC'!$C$18</f>
        <v>-7464561.4663204299</v>
      </c>
    </row>
    <row r="21" spans="1:10" s="44" customFormat="1" ht="18" x14ac:dyDescent="0.4">
      <c r="A21" s="4" t="s">
        <v>692</v>
      </c>
      <c r="B21" s="4"/>
      <c r="C21" s="290">
        <f>SUM(C19:C20)</f>
        <v>-2815682.0659004953</v>
      </c>
      <c r="D21" s="290">
        <f>SUM(D19:D20)</f>
        <v>6883115.2350894539</v>
      </c>
      <c r="E21" s="290">
        <f>SUM(E19:E20)</f>
        <v>15696892.86588553</v>
      </c>
      <c r="G21" s="4" t="str">
        <f t="shared" si="0"/>
        <v>Net Income</v>
      </c>
      <c r="H21" s="290">
        <f>SUM(H19:H20)</f>
        <v>-38673.081265855646</v>
      </c>
      <c r="I21" s="290">
        <f>SUM(I19:I20)</f>
        <v>10767706.289566658</v>
      </c>
      <c r="J21" s="290">
        <f>SUM(J19:J20)</f>
        <v>19090264.098675761</v>
      </c>
    </row>
    <row r="22" spans="1:10" s="44" customFormat="1" ht="15.75" x14ac:dyDescent="0.25">
      <c r="G22" s="291" t="s">
        <v>693</v>
      </c>
      <c r="H22" s="292">
        <f>H21/1000000</f>
        <v>-3.8673081265855648E-2</v>
      </c>
      <c r="I22" s="292">
        <f>I21/1000000</f>
        <v>10.767706289566659</v>
      </c>
      <c r="J22" s="292">
        <f>J21/1000000</f>
        <v>19.09026409867576</v>
      </c>
    </row>
    <row r="23" spans="1:10" ht="18.75" x14ac:dyDescent="0.3">
      <c r="A23" s="280" t="s">
        <v>694</v>
      </c>
      <c r="C23" s="540" t="s">
        <v>677</v>
      </c>
      <c r="D23" s="540"/>
      <c r="E23" s="540"/>
      <c r="G23" s="293" t="s">
        <v>695</v>
      </c>
      <c r="H23" s="293">
        <v>578</v>
      </c>
      <c r="I23" s="293">
        <v>580</v>
      </c>
      <c r="J23" s="293">
        <v>583</v>
      </c>
    </row>
    <row r="24" spans="1:10" ht="18.75" x14ac:dyDescent="0.3">
      <c r="A24" s="294" t="s">
        <v>696</v>
      </c>
      <c r="B24" s="281">
        <v>45474</v>
      </c>
      <c r="C24" s="281">
        <v>45838</v>
      </c>
      <c r="D24" s="281">
        <v>46203</v>
      </c>
      <c r="E24" s="281">
        <v>46568</v>
      </c>
      <c r="G24" s="293" t="s">
        <v>697</v>
      </c>
      <c r="H24" s="295">
        <f>ROUND(+H22/H23,2)</f>
        <v>0</v>
      </c>
      <c r="I24" s="295">
        <f>ROUND(+I22/I23,2)</f>
        <v>0.02</v>
      </c>
      <c r="J24" s="295">
        <f>ROUND(+J22/J23,2)</f>
        <v>0.03</v>
      </c>
    </row>
    <row r="26" spans="1:10" ht="15.75" x14ac:dyDescent="0.25">
      <c r="A26" s="44" t="s">
        <v>698</v>
      </c>
      <c r="B26" s="138">
        <v>0</v>
      </c>
      <c r="C26" s="138">
        <f>SUM('CAP-2 Program Expenses'!B31:C42)+'CAP-3 EE&amp;C'!F27</f>
        <v>109270239.8084659</v>
      </c>
      <c r="D26" s="138">
        <f>SUM('CAP-2 Program Expenses'!B31:C54)+'CAP-3 EE&amp;C'!F39</f>
        <v>395140220.32037914</v>
      </c>
      <c r="E26" s="138">
        <f>SUM('CAP-2 Program Expenses'!B31:C66)+'CAP-3 EE&amp;C'!F51</f>
        <v>676603436.70880485</v>
      </c>
      <c r="F26" s="44"/>
    </row>
    <row r="27" spans="1:10" ht="18" x14ac:dyDescent="0.4">
      <c r="A27" s="44" t="s">
        <v>699</v>
      </c>
      <c r="B27" s="284">
        <v>0</v>
      </c>
      <c r="C27" s="284">
        <f>SUM('CAP-3 EE&amp;C'!J27)</f>
        <v>388574.66000000003</v>
      </c>
      <c r="D27" s="284">
        <f>+'CAP-3 EE&amp;C'!J39</f>
        <v>12357940.681313664</v>
      </c>
      <c r="E27" s="284">
        <f>+'CAP-3 EE&amp;C'!J51</f>
        <v>46556986.925230071</v>
      </c>
      <c r="F27" s="44"/>
    </row>
    <row r="28" spans="1:10" ht="18" x14ac:dyDescent="0.4">
      <c r="A28" s="4" t="s">
        <v>700</v>
      </c>
      <c r="B28" s="296">
        <f>+B26-B27</f>
        <v>0</v>
      </c>
      <c r="C28" s="296">
        <f>+C26-C27</f>
        <v>108881665.1484659</v>
      </c>
      <c r="D28" s="296">
        <f>+D26-D27</f>
        <v>382782279.6390655</v>
      </c>
      <c r="E28" s="296">
        <f>+E26-E27</f>
        <v>630046449.78357482</v>
      </c>
      <c r="F28" s="297"/>
    </row>
    <row r="29" spans="1:10" ht="15.75" x14ac:dyDescent="0.25">
      <c r="A29" s="44"/>
      <c r="B29" s="29"/>
      <c r="C29" s="29"/>
      <c r="D29" s="29"/>
      <c r="E29" s="29"/>
      <c r="F29" s="44"/>
    </row>
    <row r="30" spans="1:10" ht="18" x14ac:dyDescent="0.4">
      <c r="A30" s="4" t="s">
        <v>701</v>
      </c>
      <c r="B30" s="298">
        <f>+B28</f>
        <v>0</v>
      </c>
      <c r="C30" s="298">
        <f>+C28</f>
        <v>108881665.1484659</v>
      </c>
      <c r="D30" s="298">
        <f>+D28</f>
        <v>382782279.6390655</v>
      </c>
      <c r="E30" s="298">
        <f>+E28</f>
        <v>630046449.78357482</v>
      </c>
      <c r="F30" s="44"/>
    </row>
    <row r="31" spans="1:10" ht="15.75" x14ac:dyDescent="0.25">
      <c r="A31" s="44"/>
      <c r="B31" s="44"/>
      <c r="C31" s="44"/>
      <c r="D31" s="44"/>
      <c r="E31" s="44"/>
      <c r="F31" s="44"/>
    </row>
    <row r="32" spans="1:10" ht="18.75" x14ac:dyDescent="0.3">
      <c r="A32" s="294" t="s">
        <v>702</v>
      </c>
      <c r="B32" s="44"/>
      <c r="C32" s="44"/>
      <c r="D32" s="44"/>
      <c r="E32" s="44"/>
      <c r="F32" s="44"/>
    </row>
    <row r="33" spans="1:6" ht="15.75" x14ac:dyDescent="0.25">
      <c r="A33" s="286" t="s">
        <v>703</v>
      </c>
      <c r="B33" s="44"/>
      <c r="C33" s="44"/>
      <c r="D33" s="44"/>
      <c r="E33" s="44"/>
      <c r="F33" s="44"/>
    </row>
    <row r="34" spans="1:6" ht="15.75" x14ac:dyDescent="0.25">
      <c r="A34" s="44" t="s">
        <v>704</v>
      </c>
      <c r="B34" s="138">
        <v>0</v>
      </c>
      <c r="C34" s="138">
        <f>+'CAP-3 EE&amp;C'!P27</f>
        <v>5789795.9214809788</v>
      </c>
      <c r="D34" s="138">
        <f>+'CAP-3 EE&amp;C'!P39</f>
        <v>57452041.469658323</v>
      </c>
      <c r="E34" s="138">
        <f>+'CAP-3 EE&amp;C'!P51</f>
        <v>112464696.56056985</v>
      </c>
      <c r="F34" s="44"/>
    </row>
    <row r="35" spans="1:6" ht="15.75" x14ac:dyDescent="0.25">
      <c r="A35" s="44"/>
      <c r="B35" s="44"/>
      <c r="C35" s="44"/>
      <c r="D35" s="44"/>
      <c r="E35" s="44"/>
      <c r="F35" s="44"/>
    </row>
    <row r="36" spans="1:6" ht="15.75" x14ac:dyDescent="0.25">
      <c r="A36" s="286" t="s">
        <v>705</v>
      </c>
      <c r="B36" s="44"/>
      <c r="C36" s="44"/>
      <c r="D36" s="44"/>
      <c r="E36" s="44"/>
      <c r="F36" s="44"/>
    </row>
    <row r="37" spans="1:6" ht="15.75" x14ac:dyDescent="0.25">
      <c r="A37" s="44" t="s">
        <v>706</v>
      </c>
      <c r="B37" s="29">
        <v>0</v>
      </c>
      <c r="C37" s="29">
        <f>+(C30-C34)*'CAP-1 WACC'!B10</f>
        <v>49587189.098179743</v>
      </c>
      <c r="D37" s="29">
        <f>+(D30-D34)*'CAP-1 WACC'!B10</f>
        <v>156483844.55948484</v>
      </c>
      <c r="E37" s="29">
        <f>+(E30-E34)*'CAP-1 WACC'!B10</f>
        <v>248956823.30026537</v>
      </c>
      <c r="F37" s="44"/>
    </row>
    <row r="38" spans="1:6" ht="18" x14ac:dyDescent="0.4">
      <c r="A38" s="44" t="s">
        <v>649</v>
      </c>
      <c r="B38" s="284">
        <v>0</v>
      </c>
      <c r="C38" s="284">
        <f>+C30-C34-C37</f>
        <v>53504680.128805175</v>
      </c>
      <c r="D38" s="284">
        <f>+D30-D34-D37</f>
        <v>168846393.60992235</v>
      </c>
      <c r="E38" s="284">
        <f>+E30-E34-E37</f>
        <v>268624929.92273957</v>
      </c>
      <c r="F38" s="44"/>
    </row>
    <row r="39" spans="1:6" ht="18" x14ac:dyDescent="0.4">
      <c r="A39" s="4" t="s">
        <v>707</v>
      </c>
      <c r="B39" s="296">
        <f>SUM(B37:B38)</f>
        <v>0</v>
      </c>
      <c r="C39" s="296">
        <f>SUM(C37:C38)</f>
        <v>103091869.22698492</v>
      </c>
      <c r="D39" s="296">
        <f>SUM(D37:D38)</f>
        <v>325330238.16940719</v>
      </c>
      <c r="E39" s="296">
        <f>SUM(E37:E38)</f>
        <v>517581753.22300494</v>
      </c>
      <c r="F39" s="44"/>
    </row>
    <row r="40" spans="1:6" ht="15.75" x14ac:dyDescent="0.25">
      <c r="A40" s="44"/>
      <c r="B40" s="4"/>
      <c r="C40" s="4"/>
      <c r="D40" s="4"/>
      <c r="E40" s="4"/>
      <c r="F40" s="44"/>
    </row>
    <row r="41" spans="1:6" ht="18" x14ac:dyDescent="0.4">
      <c r="A41" s="4" t="s">
        <v>708</v>
      </c>
      <c r="B41" s="298">
        <f>+B34+B39</f>
        <v>0</v>
      </c>
      <c r="C41" s="298">
        <f>+C34+C39</f>
        <v>108881665.1484659</v>
      </c>
      <c r="D41" s="298">
        <f>+D34+D39</f>
        <v>382782279.6390655</v>
      </c>
      <c r="E41" s="298">
        <f>+E34+E39</f>
        <v>630046449.78357482</v>
      </c>
      <c r="F41" s="44"/>
    </row>
    <row r="42" spans="1:6" ht="15.75" x14ac:dyDescent="0.25">
      <c r="A42" s="44"/>
    </row>
  </sheetData>
  <mergeCells count="3">
    <mergeCell ref="C7:E7"/>
    <mergeCell ref="H7:J7"/>
    <mergeCell ref="C23:E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0EB36-C517-4ADE-850E-AB8092E38553}">
  <sheetPr>
    <tabColor rgb="FF00FF00"/>
  </sheetPr>
  <dimension ref="B1:Z72"/>
  <sheetViews>
    <sheetView workbookViewId="0">
      <pane xSplit="7" ySplit="8" topLeftCell="H9" activePane="bottomRight" state="frozen"/>
      <selection activeCell="AO37" sqref="AO37"/>
      <selection pane="topRight" activeCell="AO37" sqref="AO37"/>
      <selection pane="bottomLeft" activeCell="AO37" sqref="AO37"/>
      <selection pane="bottomRight" activeCell="Q54" sqref="Q54"/>
    </sheetView>
  </sheetViews>
  <sheetFormatPr defaultRowHeight="15" outlineLevelCol="1" x14ac:dyDescent="0.25"/>
  <cols>
    <col min="1" max="1" width="2.28515625" customWidth="1"/>
    <col min="2" max="2" width="24.140625" hidden="1" customWidth="1" outlineLevel="1"/>
    <col min="3" max="3" width="13.42578125" hidden="1" customWidth="1" outlineLevel="1"/>
    <col min="4" max="4" width="15.42578125" hidden="1" customWidth="1" outlineLevel="1"/>
    <col min="5" max="5" width="2.28515625" hidden="1" customWidth="1" outlineLevel="1"/>
    <col min="6" max="6" width="28.7109375" hidden="1" customWidth="1" outlineLevel="1"/>
    <col min="7" max="7" width="28.7109375" bestFit="1" customWidth="1" collapsed="1"/>
    <col min="8" max="22" width="15.5703125" customWidth="1"/>
    <col min="24" max="24" width="9.28515625" customWidth="1"/>
    <col min="25" max="25" width="10.42578125" customWidth="1"/>
  </cols>
  <sheetData>
    <row r="1" spans="2:26" x14ac:dyDescent="0.25">
      <c r="H1" s="550" t="s">
        <v>375</v>
      </c>
      <c r="I1" s="550"/>
      <c r="J1" s="550"/>
      <c r="K1" s="551" t="s">
        <v>376</v>
      </c>
      <c r="L1" s="552"/>
      <c r="M1" s="553"/>
      <c r="N1" s="212"/>
      <c r="O1" s="212"/>
      <c r="P1" s="212"/>
      <c r="Q1" s="213"/>
      <c r="R1" s="213"/>
      <c r="S1" s="213"/>
    </row>
    <row r="2" spans="2:26" x14ac:dyDescent="0.25">
      <c r="H2" s="550" t="s">
        <v>377</v>
      </c>
      <c r="I2" s="550"/>
      <c r="J2" s="550"/>
      <c r="K2" s="551" t="s">
        <v>378</v>
      </c>
      <c r="L2" s="552"/>
      <c r="M2" s="553"/>
      <c r="N2" s="212"/>
      <c r="O2" s="212"/>
      <c r="P2" s="212"/>
      <c r="Q2" s="213"/>
      <c r="R2" s="213"/>
      <c r="S2" s="213"/>
    </row>
    <row r="3" spans="2:26" x14ac:dyDescent="0.25">
      <c r="B3" s="32" t="s">
        <v>379</v>
      </c>
      <c r="C3" s="32"/>
      <c r="D3" s="32"/>
      <c r="E3" s="32"/>
      <c r="F3" s="32"/>
      <c r="G3" s="32"/>
      <c r="H3" s="550" t="s">
        <v>380</v>
      </c>
      <c r="I3" s="550"/>
      <c r="J3" s="550"/>
      <c r="K3" s="551" t="s">
        <v>381</v>
      </c>
      <c r="L3" s="552"/>
      <c r="M3" s="553"/>
      <c r="N3" s="212"/>
      <c r="O3" s="212"/>
      <c r="P3" s="212"/>
      <c r="Q3" s="213"/>
      <c r="R3" s="213"/>
      <c r="S3" s="213"/>
    </row>
    <row r="4" spans="2:26" x14ac:dyDescent="0.25">
      <c r="H4" s="554" t="s">
        <v>382</v>
      </c>
      <c r="I4" s="554"/>
      <c r="J4" s="554"/>
      <c r="K4" s="551"/>
      <c r="L4" s="552"/>
      <c r="M4" s="553"/>
      <c r="N4" s="551" t="s">
        <v>383</v>
      </c>
      <c r="O4" s="552"/>
      <c r="P4" s="553"/>
      <c r="Q4" s="213"/>
      <c r="R4" s="213"/>
      <c r="S4" s="213"/>
    </row>
    <row r="5" spans="2:26" x14ac:dyDescent="0.25">
      <c r="H5" s="554" t="s">
        <v>384</v>
      </c>
      <c r="I5" s="554"/>
      <c r="J5" s="554"/>
      <c r="K5" s="551"/>
      <c r="L5" s="552"/>
      <c r="M5" s="553"/>
      <c r="N5" s="551" t="s">
        <v>385</v>
      </c>
      <c r="O5" s="552"/>
      <c r="P5" s="553"/>
      <c r="Q5" s="214"/>
      <c r="R5" s="214"/>
      <c r="S5" s="214"/>
    </row>
    <row r="6" spans="2:26" x14ac:dyDescent="0.25">
      <c r="H6" s="554"/>
      <c r="I6" s="554"/>
      <c r="J6" s="554"/>
      <c r="K6" s="555"/>
      <c r="L6" s="556"/>
      <c r="M6" s="557"/>
      <c r="N6" s="555" t="s">
        <v>386</v>
      </c>
      <c r="O6" s="556"/>
      <c r="P6" s="557"/>
      <c r="Q6" s="558" t="s">
        <v>387</v>
      </c>
      <c r="R6" s="558"/>
      <c r="S6" s="558"/>
    </row>
    <row r="7" spans="2:26" ht="39" thickBot="1" x14ac:dyDescent="0.3">
      <c r="H7" s="215" t="s">
        <v>388</v>
      </c>
      <c r="I7" s="215" t="s">
        <v>388</v>
      </c>
      <c r="J7" s="215" t="s">
        <v>388</v>
      </c>
      <c r="K7" s="216" t="s">
        <v>389</v>
      </c>
      <c r="L7" s="216" t="s">
        <v>389</v>
      </c>
      <c r="M7" s="216" t="s">
        <v>389</v>
      </c>
      <c r="N7" s="216" t="s">
        <v>390</v>
      </c>
      <c r="O7" s="216" t="s">
        <v>390</v>
      </c>
      <c r="P7" s="216" t="s">
        <v>390</v>
      </c>
      <c r="Q7" s="216" t="s">
        <v>391</v>
      </c>
      <c r="R7" s="216" t="s">
        <v>391</v>
      </c>
      <c r="S7" s="216" t="s">
        <v>391</v>
      </c>
      <c r="T7" s="215" t="s">
        <v>15</v>
      </c>
      <c r="U7" s="215" t="s">
        <v>15</v>
      </c>
      <c r="V7" s="215" t="s">
        <v>15</v>
      </c>
    </row>
    <row r="8" spans="2:26" ht="64.5" thickBot="1" x14ac:dyDescent="0.3">
      <c r="B8" s="217" t="s">
        <v>392</v>
      </c>
      <c r="C8" s="218" t="s">
        <v>393</v>
      </c>
      <c r="D8" s="219" t="s">
        <v>394</v>
      </c>
      <c r="E8" s="220" t="s">
        <v>395</v>
      </c>
      <c r="F8" s="220" t="s">
        <v>357</v>
      </c>
      <c r="G8" s="221" t="s">
        <v>396</v>
      </c>
      <c r="H8" s="222" t="s">
        <v>397</v>
      </c>
      <c r="I8" s="222" t="s">
        <v>398</v>
      </c>
      <c r="J8" s="222" t="s">
        <v>399</v>
      </c>
      <c r="K8" s="222" t="s">
        <v>397</v>
      </c>
      <c r="L8" s="222" t="s">
        <v>398</v>
      </c>
      <c r="M8" s="222" t="s">
        <v>399</v>
      </c>
      <c r="N8" s="222" t="s">
        <v>397</v>
      </c>
      <c r="O8" s="222" t="s">
        <v>398</v>
      </c>
      <c r="P8" s="222" t="s">
        <v>399</v>
      </c>
      <c r="Q8" s="222" t="s">
        <v>397</v>
      </c>
      <c r="R8" s="222" t="s">
        <v>398</v>
      </c>
      <c r="S8" s="222" t="s">
        <v>399</v>
      </c>
      <c r="T8" s="222" t="s">
        <v>397</v>
      </c>
      <c r="U8" s="222" t="s">
        <v>398</v>
      </c>
      <c r="V8" s="222" t="s">
        <v>399</v>
      </c>
    </row>
    <row r="9" spans="2:26" x14ac:dyDescent="0.25">
      <c r="B9" s="223" t="s">
        <v>400</v>
      </c>
      <c r="C9" s="223" t="s">
        <v>401</v>
      </c>
      <c r="D9" s="223" t="s">
        <v>402</v>
      </c>
      <c r="E9" s="223">
        <v>0</v>
      </c>
      <c r="F9" s="223" t="s">
        <v>403</v>
      </c>
      <c r="G9" s="223" t="s">
        <v>404</v>
      </c>
      <c r="H9" s="224">
        <v>92694.124727146889</v>
      </c>
      <c r="I9" s="224">
        <v>181885.34820660006</v>
      </c>
      <c r="J9" s="224">
        <v>183433.6980160544</v>
      </c>
      <c r="K9" s="224">
        <v>466302.58357754094</v>
      </c>
      <c r="L9" s="224">
        <v>822112.25685615279</v>
      </c>
      <c r="M9" s="224">
        <v>836012.51755816163</v>
      </c>
      <c r="N9" s="224">
        <v>255629.92500000002</v>
      </c>
      <c r="O9" s="224">
        <v>475684.24500000005</v>
      </c>
      <c r="P9" s="224">
        <v>482136.16500000004</v>
      </c>
      <c r="Q9" s="224">
        <v>0</v>
      </c>
      <c r="R9" s="224">
        <v>0</v>
      </c>
      <c r="S9" s="224">
        <v>0</v>
      </c>
      <c r="T9" s="224">
        <v>814626.63330468792</v>
      </c>
      <c r="U9" s="224">
        <v>1479681.8500627528</v>
      </c>
      <c r="V9" s="224">
        <v>1501582.3805742161</v>
      </c>
      <c r="X9" s="116"/>
      <c r="Y9" s="116"/>
      <c r="Z9" s="116"/>
    </row>
    <row r="10" spans="2:26" x14ac:dyDescent="0.25">
      <c r="B10" s="223" t="s">
        <v>400</v>
      </c>
      <c r="C10" s="223" t="s">
        <v>401</v>
      </c>
      <c r="D10" s="223" t="s">
        <v>402</v>
      </c>
      <c r="E10" s="223">
        <v>0</v>
      </c>
      <c r="F10" s="223" t="s">
        <v>403</v>
      </c>
      <c r="G10" s="223" t="s">
        <v>405</v>
      </c>
      <c r="H10" s="224">
        <v>185745.98043896857</v>
      </c>
      <c r="I10" s="224">
        <v>345321.3261546063</v>
      </c>
      <c r="J10" s="224">
        <v>349384.41538122564</v>
      </c>
      <c r="K10" s="224">
        <v>1022939.3066882904</v>
      </c>
      <c r="L10" s="224">
        <v>1677126.9063452529</v>
      </c>
      <c r="M10" s="224">
        <v>1703544.0494265042</v>
      </c>
      <c r="N10" s="224">
        <v>2480941.6250000009</v>
      </c>
      <c r="O10" s="224">
        <v>4615028.2350000003</v>
      </c>
      <c r="P10" s="224">
        <v>4678895.8600000003</v>
      </c>
      <c r="Q10" s="224">
        <v>3060107.3500000006</v>
      </c>
      <c r="R10" s="224">
        <v>5692178.75</v>
      </c>
      <c r="S10" s="224">
        <v>5767816.4500000002</v>
      </c>
      <c r="T10" s="224">
        <v>6749734.2621272607</v>
      </c>
      <c r="U10" s="224">
        <v>12329655.21749986</v>
      </c>
      <c r="V10" s="224">
        <v>12499640.774807729</v>
      </c>
      <c r="X10" s="116"/>
      <c r="Y10" s="116"/>
      <c r="Z10" s="116"/>
    </row>
    <row r="11" spans="2:26" x14ac:dyDescent="0.25">
      <c r="B11" s="223" t="s">
        <v>400</v>
      </c>
      <c r="C11" s="223" t="s">
        <v>401</v>
      </c>
      <c r="D11" s="223" t="s">
        <v>402</v>
      </c>
      <c r="E11" s="223">
        <v>0</v>
      </c>
      <c r="F11" s="223" t="s">
        <v>403</v>
      </c>
      <c r="G11" s="223" t="s">
        <v>406</v>
      </c>
      <c r="H11" s="224">
        <v>148314.12497365358</v>
      </c>
      <c r="I11" s="224">
        <v>265776.37431908917</v>
      </c>
      <c r="J11" s="224">
        <v>268965.6631751426</v>
      </c>
      <c r="K11" s="224">
        <v>773410.09598390479</v>
      </c>
      <c r="L11" s="224">
        <v>1194134.1066542075</v>
      </c>
      <c r="M11" s="224">
        <v>1203793.4261991314</v>
      </c>
      <c r="N11" s="224">
        <v>2227497.9750000001</v>
      </c>
      <c r="O11" s="224">
        <v>4098026.2499999995</v>
      </c>
      <c r="P11" s="224">
        <v>4153677.9750000001</v>
      </c>
      <c r="Q11" s="224">
        <v>4441540</v>
      </c>
      <c r="R11" s="224">
        <v>8177331.3499999996</v>
      </c>
      <c r="S11" s="224">
        <v>8288315.0500000007</v>
      </c>
      <c r="T11" s="224">
        <v>7590762.1959575582</v>
      </c>
      <c r="U11" s="224">
        <v>13735268.080973295</v>
      </c>
      <c r="V11" s="224">
        <v>13914752.114374274</v>
      </c>
      <c r="X11" s="116"/>
      <c r="Y11" s="116"/>
      <c r="Z11" s="116"/>
    </row>
    <row r="12" spans="2:26" x14ac:dyDescent="0.25">
      <c r="B12" s="223" t="s">
        <v>400</v>
      </c>
      <c r="C12" s="223" t="s">
        <v>401</v>
      </c>
      <c r="D12" s="223" t="s">
        <v>402</v>
      </c>
      <c r="E12" s="223">
        <v>0</v>
      </c>
      <c r="F12" s="223" t="s">
        <v>403</v>
      </c>
      <c r="G12" s="223" t="s">
        <v>407</v>
      </c>
      <c r="H12" s="224">
        <v>110683.96007553118</v>
      </c>
      <c r="I12" s="224">
        <v>209241.56969162164</v>
      </c>
      <c r="J12" s="224">
        <v>209851.40845444385</v>
      </c>
      <c r="K12" s="224">
        <v>142147.53342600833</v>
      </c>
      <c r="L12" s="224">
        <v>160241.1980650638</v>
      </c>
      <c r="M12" s="224">
        <v>159054.09960237722</v>
      </c>
      <c r="N12" s="224">
        <v>1806760.7550000001</v>
      </c>
      <c r="O12" s="224">
        <v>3193862.8725000005</v>
      </c>
      <c r="P12" s="224">
        <v>3236548.1175000002</v>
      </c>
      <c r="Q12" s="224">
        <v>246.60000000000002</v>
      </c>
      <c r="R12" s="224">
        <v>246.60000000000002</v>
      </c>
      <c r="S12" s="224">
        <v>246.60000000000002</v>
      </c>
      <c r="T12" s="224">
        <v>2059838.8485015398</v>
      </c>
      <c r="U12" s="224">
        <v>3563592.2402566862</v>
      </c>
      <c r="V12" s="224">
        <v>3605700.2255568211</v>
      </c>
      <c r="X12" s="116"/>
      <c r="Y12" s="116"/>
      <c r="Z12" s="116"/>
    </row>
    <row r="13" spans="2:26" x14ac:dyDescent="0.25">
      <c r="B13" s="223" t="s">
        <v>400</v>
      </c>
      <c r="C13" s="223" t="s">
        <v>401</v>
      </c>
      <c r="D13" s="223" t="s">
        <v>402</v>
      </c>
      <c r="E13" s="223">
        <v>0</v>
      </c>
      <c r="F13" s="223" t="s">
        <v>408</v>
      </c>
      <c r="G13" s="223" t="s">
        <v>409</v>
      </c>
      <c r="H13" s="224">
        <v>161991.43276202935</v>
      </c>
      <c r="I13" s="224">
        <v>322095.61763284483</v>
      </c>
      <c r="J13" s="224">
        <v>326066.91438034037</v>
      </c>
      <c r="K13" s="224">
        <v>959150.80219394725</v>
      </c>
      <c r="L13" s="224">
        <v>1663509.9406964267</v>
      </c>
      <c r="M13" s="224">
        <v>1677392.0445753369</v>
      </c>
      <c r="N13" s="224">
        <v>2667448</v>
      </c>
      <c r="O13" s="224">
        <v>5755814.4000000004</v>
      </c>
      <c r="P13" s="224">
        <v>5834124.7999999998</v>
      </c>
      <c r="Q13" s="224">
        <v>1343970</v>
      </c>
      <c r="R13" s="224">
        <v>2900016</v>
      </c>
      <c r="S13" s="224">
        <v>2939472</v>
      </c>
      <c r="T13" s="224">
        <v>5132560.2349559767</v>
      </c>
      <c r="U13" s="224">
        <v>10641435.958329272</v>
      </c>
      <c r="V13" s="224">
        <v>10777055.758955676</v>
      </c>
      <c r="X13" s="116"/>
      <c r="Y13" s="116"/>
      <c r="Z13" s="116"/>
    </row>
    <row r="14" spans="2:26" x14ac:dyDescent="0.25">
      <c r="B14" s="223" t="s">
        <v>400</v>
      </c>
      <c r="C14" s="223" t="s">
        <v>401</v>
      </c>
      <c r="D14" s="223" t="s">
        <v>402</v>
      </c>
      <c r="E14" s="223">
        <v>0</v>
      </c>
      <c r="F14" s="223" t="s">
        <v>408</v>
      </c>
      <c r="G14" s="223" t="s">
        <v>410</v>
      </c>
      <c r="H14" s="224">
        <v>405257.23517921835</v>
      </c>
      <c r="I14" s="224">
        <v>857553.47430061514</v>
      </c>
      <c r="J14" s="224">
        <v>869209.27856443461</v>
      </c>
      <c r="K14" s="224">
        <v>1942650.5092018663</v>
      </c>
      <c r="L14" s="224">
        <v>3795275.3571621799</v>
      </c>
      <c r="M14" s="224">
        <v>3827870.8863609349</v>
      </c>
      <c r="N14" s="224">
        <v>7087790.4000000004</v>
      </c>
      <c r="O14" s="224">
        <v>15293391.840000002</v>
      </c>
      <c r="P14" s="224">
        <v>15498117.6</v>
      </c>
      <c r="Q14" s="224">
        <v>0</v>
      </c>
      <c r="R14" s="224">
        <v>0</v>
      </c>
      <c r="S14" s="224">
        <v>0</v>
      </c>
      <c r="T14" s="224">
        <v>9435698.1443810854</v>
      </c>
      <c r="U14" s="224">
        <v>19946220.671462797</v>
      </c>
      <c r="V14" s="224">
        <v>20195197.764925368</v>
      </c>
      <c r="X14" s="116"/>
      <c r="Y14" s="116"/>
      <c r="Z14" s="116"/>
    </row>
    <row r="15" spans="2:26" x14ac:dyDescent="0.25">
      <c r="B15" s="223" t="s">
        <v>400</v>
      </c>
      <c r="C15" s="223" t="s">
        <v>401</v>
      </c>
      <c r="D15" s="223" t="s">
        <v>402</v>
      </c>
      <c r="E15" s="223">
        <v>0</v>
      </c>
      <c r="F15" s="223" t="s">
        <v>411</v>
      </c>
      <c r="G15" s="223" t="s">
        <v>412</v>
      </c>
      <c r="H15" s="224">
        <v>110734.4522359668</v>
      </c>
      <c r="I15" s="224">
        <v>219874.21877474041</v>
      </c>
      <c r="J15" s="224">
        <v>222651.4076643968</v>
      </c>
      <c r="K15" s="224">
        <v>619529.15343451418</v>
      </c>
      <c r="L15" s="224">
        <v>1058849.3078591453</v>
      </c>
      <c r="M15" s="224">
        <v>1067665.7790895524</v>
      </c>
      <c r="N15" s="224">
        <v>2981945</v>
      </c>
      <c r="O15" s="224">
        <v>6431890</v>
      </c>
      <c r="P15" s="224">
        <v>6522890</v>
      </c>
      <c r="Q15" s="224">
        <v>0</v>
      </c>
      <c r="R15" s="224">
        <v>0</v>
      </c>
      <c r="S15" s="224">
        <v>0</v>
      </c>
      <c r="T15" s="224">
        <v>3712208.605670481</v>
      </c>
      <c r="U15" s="224">
        <v>7710613.5266338857</v>
      </c>
      <c r="V15" s="224">
        <v>7813207.1867539492</v>
      </c>
      <c r="X15" s="116"/>
      <c r="Y15" s="116"/>
      <c r="Z15" s="116"/>
    </row>
    <row r="16" spans="2:26" x14ac:dyDescent="0.25">
      <c r="B16" s="223" t="s">
        <v>400</v>
      </c>
      <c r="C16" s="223" t="s">
        <v>401</v>
      </c>
      <c r="D16" s="223" t="s">
        <v>402</v>
      </c>
      <c r="E16" s="223">
        <v>0</v>
      </c>
      <c r="F16" s="223" t="s">
        <v>413</v>
      </c>
      <c r="G16" s="223" t="s">
        <v>414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0</v>
      </c>
      <c r="S16" s="224">
        <v>0</v>
      </c>
      <c r="T16" s="224">
        <v>0</v>
      </c>
      <c r="U16" s="224">
        <v>0</v>
      </c>
      <c r="V16" s="224">
        <v>0</v>
      </c>
      <c r="X16" s="116"/>
      <c r="Y16" s="116"/>
      <c r="Z16" s="116"/>
    </row>
    <row r="17" spans="2:26" x14ac:dyDescent="0.25">
      <c r="B17" s="223" t="s">
        <v>400</v>
      </c>
      <c r="C17" s="223" t="s">
        <v>401</v>
      </c>
      <c r="D17" s="223" t="s">
        <v>402</v>
      </c>
      <c r="E17" s="223">
        <v>0</v>
      </c>
      <c r="F17" s="223" t="s">
        <v>415</v>
      </c>
      <c r="G17" s="223" t="s">
        <v>415</v>
      </c>
      <c r="H17" s="224">
        <v>102911.11187880603</v>
      </c>
      <c r="I17" s="224">
        <v>210931.04092739659</v>
      </c>
      <c r="J17" s="224">
        <v>212434.83487721763</v>
      </c>
      <c r="K17" s="224">
        <v>1328381.3998024412</v>
      </c>
      <c r="L17" s="224">
        <v>2530297.5942300102</v>
      </c>
      <c r="M17" s="224">
        <v>2537878.1164782806</v>
      </c>
      <c r="N17" s="224">
        <v>0</v>
      </c>
      <c r="O17" s="224">
        <v>0</v>
      </c>
      <c r="P17" s="224">
        <v>0</v>
      </c>
      <c r="Q17" s="224">
        <v>0</v>
      </c>
      <c r="R17" s="224">
        <v>0</v>
      </c>
      <c r="S17" s="224">
        <v>0</v>
      </c>
      <c r="T17" s="224">
        <v>1431292.5116812473</v>
      </c>
      <c r="U17" s="224">
        <v>2741228.6351574068</v>
      </c>
      <c r="V17" s="224">
        <v>2750312.9513554983</v>
      </c>
      <c r="X17" s="116"/>
      <c r="Y17" s="116"/>
      <c r="Z17" s="116"/>
    </row>
    <row r="18" spans="2:26" x14ac:dyDescent="0.25">
      <c r="B18" s="223" t="s">
        <v>400</v>
      </c>
      <c r="C18" s="223" t="s">
        <v>401</v>
      </c>
      <c r="D18" s="223" t="s">
        <v>402</v>
      </c>
      <c r="E18" s="223">
        <v>0</v>
      </c>
      <c r="F18" s="223" t="s">
        <v>415</v>
      </c>
      <c r="G18" s="223" t="s">
        <v>416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</v>
      </c>
      <c r="Q18" s="224">
        <v>0</v>
      </c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X18" s="116"/>
      <c r="Y18" s="116"/>
      <c r="Z18" s="116"/>
    </row>
    <row r="19" spans="2:26" x14ac:dyDescent="0.25">
      <c r="B19" s="223" t="s">
        <v>400</v>
      </c>
      <c r="C19" s="223" t="s">
        <v>417</v>
      </c>
      <c r="D19" s="223" t="s">
        <v>418</v>
      </c>
      <c r="E19" s="223">
        <v>0</v>
      </c>
      <c r="F19" s="223" t="s">
        <v>419</v>
      </c>
      <c r="G19" s="223" t="s">
        <v>419</v>
      </c>
      <c r="H19" s="224">
        <v>46712.793886971755</v>
      </c>
      <c r="I19" s="224">
        <v>86338.500103912258</v>
      </c>
      <c r="J19" s="224">
        <v>87358.765534850783</v>
      </c>
      <c r="K19" s="224">
        <v>266926.55858833937</v>
      </c>
      <c r="L19" s="224">
        <v>378178.85552271362</v>
      </c>
      <c r="M19" s="224">
        <v>381193.67787879735</v>
      </c>
      <c r="N19" s="224">
        <v>502983.38090171875</v>
      </c>
      <c r="O19" s="224">
        <v>1093218.98093945</v>
      </c>
      <c r="P19" s="224">
        <v>1108616.4313752169</v>
      </c>
      <c r="Q19" s="224">
        <v>667742.55363292911</v>
      </c>
      <c r="R19" s="224">
        <v>1451317.9992225908</v>
      </c>
      <c r="S19" s="224">
        <v>1471759.0978031906</v>
      </c>
      <c r="T19" s="224">
        <v>1484365.2870099591</v>
      </c>
      <c r="U19" s="224">
        <v>3009054.3357886667</v>
      </c>
      <c r="V19" s="224">
        <v>3048927.9725920558</v>
      </c>
      <c r="X19" s="116"/>
      <c r="Y19" s="116"/>
      <c r="Z19" s="116"/>
    </row>
    <row r="20" spans="2:26" x14ac:dyDescent="0.25">
      <c r="B20" s="223" t="s">
        <v>400</v>
      </c>
      <c r="C20" s="223" t="s">
        <v>417</v>
      </c>
      <c r="D20" s="223" t="s">
        <v>418</v>
      </c>
      <c r="E20" s="223">
        <v>0</v>
      </c>
      <c r="F20" s="223" t="s">
        <v>419</v>
      </c>
      <c r="G20" s="223" t="s">
        <v>420</v>
      </c>
      <c r="H20" s="224">
        <v>14656.429955309668</v>
      </c>
      <c r="I20" s="224">
        <v>28688.193447337711</v>
      </c>
      <c r="J20" s="224">
        <v>28742.382812061249</v>
      </c>
      <c r="K20" s="224">
        <v>61770.128504425287</v>
      </c>
      <c r="L20" s="224">
        <v>107213.40518277386</v>
      </c>
      <c r="M20" s="224">
        <v>106809.3759092542</v>
      </c>
      <c r="N20" s="224">
        <v>195326.05733333336</v>
      </c>
      <c r="O20" s="224">
        <v>390652.11466666672</v>
      </c>
      <c r="P20" s="224">
        <v>390652.11466666672</v>
      </c>
      <c r="Q20" s="224">
        <v>193080.66029066665</v>
      </c>
      <c r="R20" s="224">
        <v>386161.3205813333</v>
      </c>
      <c r="S20" s="224">
        <v>386161.3205813333</v>
      </c>
      <c r="T20" s="224">
        <v>464833.27608373493</v>
      </c>
      <c r="U20" s="224">
        <v>912715.03387811151</v>
      </c>
      <c r="V20" s="224">
        <v>912365.19396931538</v>
      </c>
      <c r="X20" s="116"/>
      <c r="Y20" s="116"/>
      <c r="Z20" s="116"/>
    </row>
    <row r="21" spans="2:26" x14ac:dyDescent="0.25">
      <c r="B21" s="223" t="s">
        <v>400</v>
      </c>
      <c r="C21" s="223" t="s">
        <v>421</v>
      </c>
      <c r="D21" s="223" t="s">
        <v>422</v>
      </c>
      <c r="E21" s="223">
        <v>0</v>
      </c>
      <c r="F21" s="223" t="s">
        <v>423</v>
      </c>
      <c r="G21" s="223" t="s">
        <v>424</v>
      </c>
      <c r="H21" s="224">
        <v>797063.24581948225</v>
      </c>
      <c r="I21" s="224">
        <v>1913695.0337629188</v>
      </c>
      <c r="J21" s="224">
        <v>1939248.1447677317</v>
      </c>
      <c r="K21" s="224">
        <v>4816098.3604671359</v>
      </c>
      <c r="L21" s="224">
        <v>10787730.560654169</v>
      </c>
      <c r="M21" s="224">
        <v>10867107.24884109</v>
      </c>
      <c r="N21" s="224">
        <v>12088628.657819999</v>
      </c>
      <c r="O21" s="224">
        <v>30232364.583564002</v>
      </c>
      <c r="P21" s="224">
        <v>30584396.962548003</v>
      </c>
      <c r="Q21" s="224">
        <v>2529232.3500000006</v>
      </c>
      <c r="R21" s="224">
        <v>6323003.4700000007</v>
      </c>
      <c r="S21" s="224">
        <v>6396827.290000001</v>
      </c>
      <c r="T21" s="224">
        <v>20231022.614106618</v>
      </c>
      <c r="U21" s="224">
        <v>49256793.647981092</v>
      </c>
      <c r="V21" s="224">
        <v>49787579.646156825</v>
      </c>
      <c r="X21" s="116"/>
      <c r="Y21" s="116"/>
      <c r="Z21" s="116"/>
    </row>
    <row r="22" spans="2:26" x14ac:dyDescent="0.25">
      <c r="B22" s="223" t="s">
        <v>400</v>
      </c>
      <c r="C22" s="223" t="s">
        <v>421</v>
      </c>
      <c r="D22" s="223" t="s">
        <v>422</v>
      </c>
      <c r="E22" s="223">
        <v>0</v>
      </c>
      <c r="F22" s="223" t="s">
        <v>425</v>
      </c>
      <c r="G22" s="223" t="s">
        <v>426</v>
      </c>
      <c r="H22" s="224">
        <v>35.628803676377785</v>
      </c>
      <c r="I22" s="224">
        <v>36.440293074546766</v>
      </c>
      <c r="J22" s="224">
        <v>36.679157141659552</v>
      </c>
      <c r="K22" s="224">
        <v>422.00274029771322</v>
      </c>
      <c r="L22" s="224">
        <v>401.91488630169732</v>
      </c>
      <c r="M22" s="224">
        <v>403.11898369501137</v>
      </c>
      <c r="N22" s="224">
        <v>278.40731099999999</v>
      </c>
      <c r="O22" s="224">
        <v>278.40731099999999</v>
      </c>
      <c r="P22" s="224">
        <v>278.40731099999999</v>
      </c>
      <c r="Q22" s="224">
        <v>0</v>
      </c>
      <c r="R22" s="224">
        <v>0</v>
      </c>
      <c r="S22" s="224">
        <v>0</v>
      </c>
      <c r="T22" s="224">
        <v>736.03885497409101</v>
      </c>
      <c r="U22" s="224">
        <v>716.76249037624416</v>
      </c>
      <c r="V22" s="224">
        <v>718.20545183667093</v>
      </c>
      <c r="X22" s="116"/>
      <c r="Y22" s="116"/>
      <c r="Z22" s="116"/>
    </row>
    <row r="23" spans="2:26" x14ac:dyDescent="0.25">
      <c r="B23" s="223" t="s">
        <v>400</v>
      </c>
      <c r="C23" s="223" t="s">
        <v>421</v>
      </c>
      <c r="D23" s="223" t="s">
        <v>422</v>
      </c>
      <c r="E23" s="223">
        <v>0</v>
      </c>
      <c r="F23" s="223" t="s">
        <v>425</v>
      </c>
      <c r="G23" s="223" t="s">
        <v>427</v>
      </c>
      <c r="H23" s="224">
        <v>2245.3624239521473</v>
      </c>
      <c r="I23" s="224">
        <v>4251.3054984163728</v>
      </c>
      <c r="J23" s="224">
        <v>5116.6113278846333</v>
      </c>
      <c r="K23" s="224">
        <v>4144.2112495580204</v>
      </c>
      <c r="L23" s="224">
        <v>6505.4571382614959</v>
      </c>
      <c r="M23" s="224">
        <v>8443.5483232282168</v>
      </c>
      <c r="N23" s="224">
        <v>33055.674014999997</v>
      </c>
      <c r="O23" s="224">
        <v>61906.15103400001</v>
      </c>
      <c r="P23" s="224">
        <v>88496.126901000011</v>
      </c>
      <c r="Q23" s="224">
        <v>51587.350000000006</v>
      </c>
      <c r="R23" s="224">
        <v>96817.900000000009</v>
      </c>
      <c r="S23" s="224">
        <v>122430.05000000002</v>
      </c>
      <c r="T23" s="224">
        <v>91032.59768851017</v>
      </c>
      <c r="U23" s="224">
        <v>169480.81367067789</v>
      </c>
      <c r="V23" s="224">
        <v>224486.33655211289</v>
      </c>
      <c r="X23" s="116"/>
      <c r="Y23" s="116"/>
      <c r="Z23" s="116"/>
    </row>
    <row r="24" spans="2:26" x14ac:dyDescent="0.25">
      <c r="B24" s="223" t="s">
        <v>400</v>
      </c>
      <c r="C24" s="223" t="s">
        <v>421</v>
      </c>
      <c r="D24" s="223" t="s">
        <v>422</v>
      </c>
      <c r="E24" s="223">
        <v>0</v>
      </c>
      <c r="F24" s="223" t="s">
        <v>425</v>
      </c>
      <c r="G24" s="223" t="s">
        <v>428</v>
      </c>
      <c r="H24" s="224">
        <v>627079.83546390617</v>
      </c>
      <c r="I24" s="224">
        <v>1126584.7383654444</v>
      </c>
      <c r="J24" s="224">
        <v>1141860.4000575379</v>
      </c>
      <c r="K24" s="224">
        <v>2894854.750542013</v>
      </c>
      <c r="L24" s="224">
        <v>4619366.8909166241</v>
      </c>
      <c r="M24" s="224">
        <v>4694224.2067013364</v>
      </c>
      <c r="N24" s="224">
        <v>13119289.978866687</v>
      </c>
      <c r="O24" s="224">
        <v>23337875.435807679</v>
      </c>
      <c r="P24" s="224">
        <v>23649253.956510838</v>
      </c>
      <c r="Q24" s="224">
        <v>9429.2890363636379</v>
      </c>
      <c r="R24" s="224">
        <v>9429.2890363636379</v>
      </c>
      <c r="S24" s="224">
        <v>9429.2890363636379</v>
      </c>
      <c r="T24" s="224">
        <v>16650653.853908969</v>
      </c>
      <c r="U24" s="224">
        <v>29093256.354126111</v>
      </c>
      <c r="V24" s="224">
        <v>29494767.852306075</v>
      </c>
      <c r="X24" s="116"/>
      <c r="Y24" s="116"/>
      <c r="Z24" s="116"/>
    </row>
    <row r="25" spans="2:26" x14ac:dyDescent="0.25">
      <c r="B25" s="223" t="s">
        <v>400</v>
      </c>
      <c r="C25" s="223" t="s">
        <v>421</v>
      </c>
      <c r="D25" s="223" t="s">
        <v>422</v>
      </c>
      <c r="E25" s="223">
        <v>0</v>
      </c>
      <c r="F25" s="223" t="s">
        <v>425</v>
      </c>
      <c r="G25" s="223" t="s">
        <v>429</v>
      </c>
      <c r="H25" s="224">
        <v>138904.52706229349</v>
      </c>
      <c r="I25" s="224">
        <v>297781.41669796506</v>
      </c>
      <c r="J25" s="224">
        <v>297372.19974836614</v>
      </c>
      <c r="K25" s="224">
        <v>338203.54292902834</v>
      </c>
      <c r="L25" s="224">
        <v>711112.38709372969</v>
      </c>
      <c r="M25" s="224">
        <v>709300.05605763127</v>
      </c>
      <c r="N25" s="224">
        <v>1473975.5664269999</v>
      </c>
      <c r="O25" s="224">
        <v>3195737.7949770009</v>
      </c>
      <c r="P25" s="224">
        <v>3193930.2251219996</v>
      </c>
      <c r="Q25" s="224">
        <v>8791321.5099999979</v>
      </c>
      <c r="R25" s="224">
        <v>18992601.810000002</v>
      </c>
      <c r="S25" s="224">
        <v>18932177.960000005</v>
      </c>
      <c r="T25" s="224">
        <v>10742405.14641832</v>
      </c>
      <c r="U25" s="224">
        <v>23197233.408768699</v>
      </c>
      <c r="V25" s="224">
        <v>23132780.440928001</v>
      </c>
      <c r="X25" s="116"/>
      <c r="Y25" s="116"/>
      <c r="Z25" s="116"/>
    </row>
    <row r="26" spans="2:26" x14ac:dyDescent="0.25">
      <c r="B26" s="223" t="s">
        <v>400</v>
      </c>
      <c r="C26" s="223" t="s">
        <v>421</v>
      </c>
      <c r="D26" s="223" t="s">
        <v>422</v>
      </c>
      <c r="E26" s="223">
        <v>0</v>
      </c>
      <c r="F26" s="223" t="s">
        <v>425</v>
      </c>
      <c r="G26" s="223" t="s">
        <v>430</v>
      </c>
      <c r="H26" s="224">
        <v>60814.069135466299</v>
      </c>
      <c r="I26" s="224">
        <v>130305.54776435564</v>
      </c>
      <c r="J26" s="224">
        <v>132095.84975061737</v>
      </c>
      <c r="K26" s="224">
        <v>293875.10710853786</v>
      </c>
      <c r="L26" s="224">
        <v>595170.73526149534</v>
      </c>
      <c r="M26" s="224">
        <v>604897.30604351405</v>
      </c>
      <c r="N26" s="224">
        <v>156489.84078000003</v>
      </c>
      <c r="O26" s="224">
        <v>339922.86073200003</v>
      </c>
      <c r="P26" s="224">
        <v>345819.27825899998</v>
      </c>
      <c r="Q26" s="224">
        <v>184308.64820000003</v>
      </c>
      <c r="R26" s="224">
        <v>392393.64640000009</v>
      </c>
      <c r="S26" s="224">
        <v>397767.47140000004</v>
      </c>
      <c r="T26" s="224">
        <v>695487.66522400419</v>
      </c>
      <c r="U26" s="224">
        <v>1457792.7901578513</v>
      </c>
      <c r="V26" s="224">
        <v>1480579.9054531315</v>
      </c>
      <c r="X26" s="116"/>
      <c r="Y26" s="116"/>
      <c r="Z26" s="116"/>
    </row>
    <row r="27" spans="2:26" x14ac:dyDescent="0.25">
      <c r="B27" s="223" t="s">
        <v>400</v>
      </c>
      <c r="C27" s="223" t="s">
        <v>421</v>
      </c>
      <c r="D27" s="223" t="s">
        <v>422</v>
      </c>
      <c r="E27" s="223">
        <v>0</v>
      </c>
      <c r="F27" s="223" t="s">
        <v>425</v>
      </c>
      <c r="G27" s="223" t="s">
        <v>431</v>
      </c>
      <c r="H27" s="224">
        <v>106358.86363452749</v>
      </c>
      <c r="I27" s="224">
        <v>235437.61883625726</v>
      </c>
      <c r="J27" s="224">
        <v>238767.81036492964</v>
      </c>
      <c r="K27" s="224">
        <v>459185.17999218823</v>
      </c>
      <c r="L27" s="224">
        <v>961853.60370156297</v>
      </c>
      <c r="M27" s="224">
        <v>977253.9581987448</v>
      </c>
      <c r="N27" s="224">
        <v>2100764.6184536763</v>
      </c>
      <c r="O27" s="224">
        <v>4687062.4426255766</v>
      </c>
      <c r="P27" s="224">
        <v>4749073.32858341</v>
      </c>
      <c r="Q27" s="224">
        <v>586676.01211054134</v>
      </c>
      <c r="R27" s="224">
        <v>1314577.9267046119</v>
      </c>
      <c r="S27" s="224">
        <v>1331577.4313199061</v>
      </c>
      <c r="T27" s="224">
        <v>3252984.6741909338</v>
      </c>
      <c r="U27" s="224">
        <v>7198931.5918680085</v>
      </c>
      <c r="V27" s="224">
        <v>7296672.5284669911</v>
      </c>
      <c r="X27" s="116"/>
      <c r="Y27" s="116"/>
      <c r="Z27" s="116"/>
    </row>
    <row r="28" spans="2:26" x14ac:dyDescent="0.25">
      <c r="B28" s="223" t="s">
        <v>400</v>
      </c>
      <c r="C28" s="223" t="s">
        <v>421</v>
      </c>
      <c r="D28" s="223" t="s">
        <v>422</v>
      </c>
      <c r="E28" s="223">
        <v>0</v>
      </c>
      <c r="F28" s="223" t="s">
        <v>425</v>
      </c>
      <c r="G28" s="223" t="s">
        <v>432</v>
      </c>
      <c r="H28" s="224">
        <v>221172.84245277228</v>
      </c>
      <c r="I28" s="224">
        <v>459774.70246737869</v>
      </c>
      <c r="J28" s="224">
        <v>466624.52762727585</v>
      </c>
      <c r="K28" s="224">
        <v>875403.36362155352</v>
      </c>
      <c r="L28" s="224">
        <v>1648958.6481856089</v>
      </c>
      <c r="M28" s="224">
        <v>1674775.8702938522</v>
      </c>
      <c r="N28" s="224">
        <v>1170889.2313360863</v>
      </c>
      <c r="O28" s="224">
        <v>2637713.6375197903</v>
      </c>
      <c r="P28" s="224">
        <v>2703097.2451358521</v>
      </c>
      <c r="Q28" s="224">
        <v>752602.01061176625</v>
      </c>
      <c r="R28" s="224">
        <v>1701067.7623798414</v>
      </c>
      <c r="S28" s="224">
        <v>1745269.8373329318</v>
      </c>
      <c r="T28" s="224">
        <v>3020067.4480221784</v>
      </c>
      <c r="U28" s="224">
        <v>6447514.7505526189</v>
      </c>
      <c r="V28" s="224">
        <v>6589767.4803899117</v>
      </c>
      <c r="X28" s="116"/>
      <c r="Y28" s="116"/>
      <c r="Z28" s="116"/>
    </row>
    <row r="29" spans="2:26" x14ac:dyDescent="0.25">
      <c r="B29" s="223" t="s">
        <v>400</v>
      </c>
      <c r="C29" s="223" t="s">
        <v>421</v>
      </c>
      <c r="D29" s="223" t="s">
        <v>422</v>
      </c>
      <c r="E29" s="223">
        <v>0</v>
      </c>
      <c r="F29" s="223" t="s">
        <v>425</v>
      </c>
      <c r="G29" s="223" t="s">
        <v>433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4">
        <v>0</v>
      </c>
      <c r="N29" s="224">
        <v>0</v>
      </c>
      <c r="O29" s="224">
        <v>0</v>
      </c>
      <c r="P29" s="224">
        <v>0</v>
      </c>
      <c r="Q29" s="224">
        <v>0</v>
      </c>
      <c r="R29" s="224">
        <v>0</v>
      </c>
      <c r="S29" s="224">
        <v>0</v>
      </c>
      <c r="T29" s="224">
        <v>0</v>
      </c>
      <c r="U29" s="224">
        <v>0</v>
      </c>
      <c r="V29" s="224">
        <v>0</v>
      </c>
      <c r="X29" s="116"/>
      <c r="Y29" s="116"/>
      <c r="Z29" s="116"/>
    </row>
    <row r="30" spans="2:26" x14ac:dyDescent="0.25">
      <c r="B30" s="223" t="s">
        <v>400</v>
      </c>
      <c r="C30" s="223" t="s">
        <v>421</v>
      </c>
      <c r="D30" s="223" t="s">
        <v>422</v>
      </c>
      <c r="E30" s="223">
        <v>0</v>
      </c>
      <c r="F30" s="223" t="s">
        <v>425</v>
      </c>
      <c r="G30" s="223" t="s">
        <v>434</v>
      </c>
      <c r="H30" s="224">
        <v>129724.79224561824</v>
      </c>
      <c r="I30" s="224">
        <v>244241.52273239868</v>
      </c>
      <c r="J30" s="224">
        <v>244650.82148890238</v>
      </c>
      <c r="K30" s="224">
        <v>381182.95355932909</v>
      </c>
      <c r="L30" s="224">
        <v>513689.86939728097</v>
      </c>
      <c r="M30" s="224">
        <v>515753.11638017715</v>
      </c>
      <c r="N30" s="224">
        <v>560969.95500000007</v>
      </c>
      <c r="O30" s="224">
        <v>1121939.9100000001</v>
      </c>
      <c r="P30" s="224">
        <v>1121939.9100000001</v>
      </c>
      <c r="Q30" s="224">
        <v>0</v>
      </c>
      <c r="R30" s="224">
        <v>0</v>
      </c>
      <c r="S30" s="224">
        <v>0</v>
      </c>
      <c r="T30" s="224">
        <v>1071877.7008049474</v>
      </c>
      <c r="U30" s="224">
        <v>1879871.3021296798</v>
      </c>
      <c r="V30" s="224">
        <v>1882343.8478690796</v>
      </c>
      <c r="X30" s="116"/>
      <c r="Y30" s="116"/>
      <c r="Z30" s="116"/>
    </row>
    <row r="31" spans="2:26" x14ac:dyDescent="0.25">
      <c r="B31" s="223" t="s">
        <v>400</v>
      </c>
      <c r="C31" s="223" t="s">
        <v>421</v>
      </c>
      <c r="D31" s="223" t="s">
        <v>422</v>
      </c>
      <c r="E31" s="223">
        <v>0</v>
      </c>
      <c r="F31" s="223" t="s">
        <v>435</v>
      </c>
      <c r="G31" s="223" t="s">
        <v>436</v>
      </c>
      <c r="H31" s="224">
        <v>799688.53779014514</v>
      </c>
      <c r="I31" s="224">
        <v>1502916.040389759</v>
      </c>
      <c r="J31" s="224">
        <v>1524362.7746743485</v>
      </c>
      <c r="K31" s="224">
        <v>5034431.3545403741</v>
      </c>
      <c r="L31" s="224">
        <v>8590516.1836611126</v>
      </c>
      <c r="M31" s="224">
        <v>8667102.7377625927</v>
      </c>
      <c r="N31" s="224">
        <v>10354657.039999999</v>
      </c>
      <c r="O31" s="224">
        <v>19585504.640000001</v>
      </c>
      <c r="P31" s="224">
        <v>19830218.199999999</v>
      </c>
      <c r="Q31" s="224">
        <v>4776642.0000000009</v>
      </c>
      <c r="R31" s="224">
        <v>9001980.3428571448</v>
      </c>
      <c r="S31" s="224">
        <v>9122321.1428571437</v>
      </c>
      <c r="T31" s="224">
        <v>20965418.932330519</v>
      </c>
      <c r="U31" s="224">
        <v>38680917.206908017</v>
      </c>
      <c r="V31" s="224">
        <v>39144004.855294086</v>
      </c>
      <c r="X31" s="116"/>
      <c r="Y31" s="116"/>
      <c r="Z31" s="116"/>
    </row>
    <row r="32" spans="2:26" x14ac:dyDescent="0.25">
      <c r="B32" s="223" t="s">
        <v>400</v>
      </c>
      <c r="C32" s="223" t="s">
        <v>421</v>
      </c>
      <c r="D32" s="223" t="s">
        <v>422</v>
      </c>
      <c r="E32" s="223">
        <v>0</v>
      </c>
      <c r="F32" s="223" t="s">
        <v>435</v>
      </c>
      <c r="G32" s="223" t="s">
        <v>437</v>
      </c>
      <c r="H32" s="224">
        <v>81199.946257889824</v>
      </c>
      <c r="I32" s="224">
        <v>177238.49969206113</v>
      </c>
      <c r="J32" s="224">
        <v>178116.49608054641</v>
      </c>
      <c r="K32" s="224">
        <v>237937.78105862733</v>
      </c>
      <c r="L32" s="224">
        <v>481222.37554992945</v>
      </c>
      <c r="M32" s="224">
        <v>480932.86152919719</v>
      </c>
      <c r="N32" s="224">
        <v>675384.08857920009</v>
      </c>
      <c r="O32" s="224">
        <v>1682320.3660972801</v>
      </c>
      <c r="P32" s="224">
        <v>1694600.0767987201</v>
      </c>
      <c r="Q32" s="224">
        <v>0</v>
      </c>
      <c r="R32" s="224">
        <v>0</v>
      </c>
      <c r="S32" s="224">
        <v>0</v>
      </c>
      <c r="T32" s="224">
        <v>994521.81589571724</v>
      </c>
      <c r="U32" s="224">
        <v>2340781.2413392705</v>
      </c>
      <c r="V32" s="224">
        <v>2353649.4344084635</v>
      </c>
      <c r="X32" s="116"/>
      <c r="Y32" s="116"/>
      <c r="Z32" s="116"/>
    </row>
    <row r="33" spans="2:26" x14ac:dyDescent="0.25">
      <c r="B33" s="223" t="s">
        <v>400</v>
      </c>
      <c r="C33" s="223" t="s">
        <v>421</v>
      </c>
      <c r="D33" s="223" t="s">
        <v>422</v>
      </c>
      <c r="E33" s="223">
        <v>0</v>
      </c>
      <c r="F33" s="223" t="s">
        <v>435</v>
      </c>
      <c r="G33" s="223" t="s">
        <v>438</v>
      </c>
      <c r="H33" s="224">
        <v>629686.49609132297</v>
      </c>
      <c r="I33" s="224">
        <v>1547755.0392810721</v>
      </c>
      <c r="J33" s="224">
        <v>1584450.7254012527</v>
      </c>
      <c r="K33" s="224">
        <v>4575599.0314759463</v>
      </c>
      <c r="L33" s="224">
        <v>10505179.658442592</v>
      </c>
      <c r="M33" s="224">
        <v>10681863.39557421</v>
      </c>
      <c r="N33" s="224">
        <v>7270699.2800000003</v>
      </c>
      <c r="O33" s="224">
        <v>18566297.360000003</v>
      </c>
      <c r="P33" s="224">
        <v>18970210.48</v>
      </c>
      <c r="Q33" s="224">
        <v>274747.62857142859</v>
      </c>
      <c r="R33" s="224">
        <v>716008.9714285715</v>
      </c>
      <c r="S33" s="224">
        <v>732660.34285714291</v>
      </c>
      <c r="T33" s="224">
        <v>12750732.436138697</v>
      </c>
      <c r="U33" s="224">
        <v>31335241.029152241</v>
      </c>
      <c r="V33" s="224">
        <v>31969184.943832606</v>
      </c>
      <c r="X33" s="116"/>
      <c r="Y33" s="116"/>
      <c r="Z33" s="116"/>
    </row>
    <row r="34" spans="2:26" x14ac:dyDescent="0.25">
      <c r="B34" s="223" t="s">
        <v>400</v>
      </c>
      <c r="C34" s="223" t="s">
        <v>421</v>
      </c>
      <c r="D34" s="223" t="s">
        <v>422</v>
      </c>
      <c r="E34" s="223">
        <v>0</v>
      </c>
      <c r="F34" s="223" t="s">
        <v>435</v>
      </c>
      <c r="G34" s="223" t="s">
        <v>439</v>
      </c>
      <c r="H34" s="224">
        <v>111360.43924609415</v>
      </c>
      <c r="I34" s="224">
        <v>206894.8146563604</v>
      </c>
      <c r="J34" s="224">
        <v>207122.20285441796</v>
      </c>
      <c r="K34" s="224">
        <v>220491.65519613054</v>
      </c>
      <c r="L34" s="224">
        <v>207605.48299848943</v>
      </c>
      <c r="M34" s="224">
        <v>208751.73132232064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331852.09444222471</v>
      </c>
      <c r="U34" s="224">
        <v>414500.29765484983</v>
      </c>
      <c r="V34" s="224">
        <v>415873.93417673861</v>
      </c>
      <c r="X34" s="116"/>
      <c r="Y34" s="116"/>
      <c r="Z34" s="116"/>
    </row>
    <row r="35" spans="2:26" x14ac:dyDescent="0.25">
      <c r="B35" s="223" t="s">
        <v>400</v>
      </c>
      <c r="C35" s="223" t="s">
        <v>421</v>
      </c>
      <c r="D35" s="223" t="s">
        <v>422</v>
      </c>
      <c r="E35" s="223">
        <v>0</v>
      </c>
      <c r="F35" s="223" t="s">
        <v>435</v>
      </c>
      <c r="G35" s="223" t="s">
        <v>440</v>
      </c>
      <c r="H35" s="224">
        <v>123875.92930382334</v>
      </c>
      <c r="I35" s="224">
        <v>232509.13159051604</v>
      </c>
      <c r="J35" s="224">
        <v>232868.50801268479</v>
      </c>
      <c r="K35" s="224">
        <v>387495.44608470576</v>
      </c>
      <c r="L35" s="224">
        <v>523027.48998214357</v>
      </c>
      <c r="M35" s="224">
        <v>520356.51844109874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511371.37538852909</v>
      </c>
      <c r="U35" s="224">
        <v>755536.62157265958</v>
      </c>
      <c r="V35" s="224">
        <v>753225.0264537835</v>
      </c>
      <c r="X35" s="116"/>
      <c r="Y35" s="116"/>
      <c r="Z35" s="116"/>
    </row>
    <row r="36" spans="2:26" x14ac:dyDescent="0.25">
      <c r="B36" s="223" t="s">
        <v>400</v>
      </c>
      <c r="C36" s="223" t="s">
        <v>421</v>
      </c>
      <c r="D36" s="223" t="s">
        <v>422</v>
      </c>
      <c r="E36" s="223">
        <v>0</v>
      </c>
      <c r="F36" s="223" t="s">
        <v>435</v>
      </c>
      <c r="G36" s="223" t="s">
        <v>441</v>
      </c>
      <c r="H36" s="224">
        <v>82412.302551501314</v>
      </c>
      <c r="I36" s="224">
        <v>157761.62729905319</v>
      </c>
      <c r="J36" s="224">
        <v>159150.58955425106</v>
      </c>
      <c r="K36" s="224">
        <v>300689.77567896753</v>
      </c>
      <c r="L36" s="224">
        <v>421337.61896496895</v>
      </c>
      <c r="M36" s="224">
        <v>430096.09876499622</v>
      </c>
      <c r="N36" s="224">
        <v>497296.80000000005</v>
      </c>
      <c r="O36" s="224">
        <v>1356264.0000000002</v>
      </c>
      <c r="P36" s="224">
        <v>1401472.8</v>
      </c>
      <c r="Q36" s="224">
        <v>0</v>
      </c>
      <c r="R36" s="224">
        <v>0</v>
      </c>
      <c r="S36" s="224">
        <v>0</v>
      </c>
      <c r="T36" s="224">
        <v>880398.87823046884</v>
      </c>
      <c r="U36" s="224">
        <v>1935363.2462640223</v>
      </c>
      <c r="V36" s="224">
        <v>1990719.4883192473</v>
      </c>
      <c r="X36" s="116"/>
      <c r="Y36" s="116"/>
      <c r="Z36" s="116"/>
    </row>
    <row r="37" spans="2:26" x14ac:dyDescent="0.25">
      <c r="B37" s="223" t="s">
        <v>400</v>
      </c>
      <c r="C37" s="223" t="s">
        <v>421</v>
      </c>
      <c r="D37" s="223" t="s">
        <v>422</v>
      </c>
      <c r="E37" s="223">
        <v>0</v>
      </c>
      <c r="F37" s="223" t="s">
        <v>435</v>
      </c>
      <c r="G37" s="223" t="s">
        <v>442</v>
      </c>
      <c r="H37" s="224">
        <v>244029.10012863245</v>
      </c>
      <c r="I37" s="224">
        <v>580595.97506007156</v>
      </c>
      <c r="J37" s="224">
        <v>592677.35277715127</v>
      </c>
      <c r="K37" s="224">
        <v>983348.14649294689</v>
      </c>
      <c r="L37" s="224">
        <v>2033010.3656130764</v>
      </c>
      <c r="M37" s="224">
        <v>2070901.6779118751</v>
      </c>
      <c r="N37" s="224">
        <v>3046573.1811675807</v>
      </c>
      <c r="O37" s="224">
        <v>7967373.2611232195</v>
      </c>
      <c r="P37" s="224">
        <v>8146739.2858465882</v>
      </c>
      <c r="Q37" s="224">
        <v>5030913.2206881074</v>
      </c>
      <c r="R37" s="224">
        <v>13250176.811338078</v>
      </c>
      <c r="S37" s="224">
        <v>13568223.645100378</v>
      </c>
      <c r="T37" s="224">
        <v>9304863.6484772675</v>
      </c>
      <c r="U37" s="224">
        <v>23831156.413134445</v>
      </c>
      <c r="V37" s="224">
        <v>24378541.961635992</v>
      </c>
      <c r="X37" s="116"/>
      <c r="Y37" s="116"/>
      <c r="Z37" s="116"/>
    </row>
    <row r="38" spans="2:26" x14ac:dyDescent="0.25">
      <c r="B38" s="223" t="s">
        <v>443</v>
      </c>
      <c r="C38" s="223" t="s">
        <v>444</v>
      </c>
      <c r="D38" s="223" t="s">
        <v>445</v>
      </c>
      <c r="E38" s="223">
        <v>0</v>
      </c>
      <c r="F38" s="223" t="s">
        <v>446</v>
      </c>
      <c r="G38" s="223" t="s">
        <v>447</v>
      </c>
      <c r="H38" s="224">
        <v>103635.52571664831</v>
      </c>
      <c r="I38" s="224">
        <v>141364.76089533366</v>
      </c>
      <c r="J38" s="224">
        <v>178278.13642374918</v>
      </c>
      <c r="K38" s="224">
        <v>740977.64574788942</v>
      </c>
      <c r="L38" s="224">
        <v>958000.03785429022</v>
      </c>
      <c r="M38" s="224">
        <v>1198573.6770466715</v>
      </c>
      <c r="N38" s="224">
        <v>1630475</v>
      </c>
      <c r="O38" s="224">
        <v>2161683.7549999999</v>
      </c>
      <c r="P38" s="224">
        <v>2739197.9999999995</v>
      </c>
      <c r="Q38" s="224">
        <v>0</v>
      </c>
      <c r="R38" s="224">
        <v>0</v>
      </c>
      <c r="S38" s="224">
        <v>0</v>
      </c>
      <c r="T38" s="224">
        <v>2475088.1714645377</v>
      </c>
      <c r="U38" s="224">
        <v>3261048.5537496237</v>
      </c>
      <c r="V38" s="224">
        <v>4116049.8134704204</v>
      </c>
      <c r="X38" s="116"/>
      <c r="Y38" s="116"/>
      <c r="Z38" s="116"/>
    </row>
    <row r="39" spans="2:26" x14ac:dyDescent="0.25">
      <c r="B39" s="223" t="s">
        <v>443</v>
      </c>
      <c r="C39" s="223" t="s">
        <v>448</v>
      </c>
      <c r="D39" s="223" t="s">
        <v>449</v>
      </c>
      <c r="E39" s="223">
        <v>0</v>
      </c>
      <c r="F39" s="223" t="s">
        <v>450</v>
      </c>
      <c r="G39" s="223" t="s">
        <v>451</v>
      </c>
      <c r="H39" s="224">
        <v>290.47491256114603</v>
      </c>
      <c r="I39" s="224">
        <v>595.36987358539363</v>
      </c>
      <c r="J39" s="224">
        <v>599.61445328246896</v>
      </c>
      <c r="K39" s="224">
        <v>3749.4636284746325</v>
      </c>
      <c r="L39" s="224">
        <v>7141.9690159718029</v>
      </c>
      <c r="M39" s="224">
        <v>7163.3656513499855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4039.9385410357786</v>
      </c>
      <c r="U39" s="224">
        <v>7737.338889557197</v>
      </c>
      <c r="V39" s="224">
        <v>7762.9801046324546</v>
      </c>
      <c r="X39" s="116"/>
      <c r="Y39" s="116"/>
      <c r="Z39" s="116"/>
    </row>
    <row r="40" spans="2:26" x14ac:dyDescent="0.25">
      <c r="B40" s="223" t="s">
        <v>443</v>
      </c>
      <c r="C40" s="223" t="s">
        <v>444</v>
      </c>
      <c r="D40" s="223" t="s">
        <v>445</v>
      </c>
      <c r="E40" s="223">
        <v>0</v>
      </c>
      <c r="F40" s="223" t="s">
        <v>446</v>
      </c>
      <c r="G40" s="223" t="s">
        <v>452</v>
      </c>
      <c r="H40" s="224">
        <v>0</v>
      </c>
      <c r="I40" s="224">
        <v>0</v>
      </c>
      <c r="J40" s="224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X40" s="116"/>
      <c r="Y40" s="116"/>
      <c r="Z40" s="116"/>
    </row>
    <row r="41" spans="2:26" x14ac:dyDescent="0.25">
      <c r="B41" s="223" t="s">
        <v>443</v>
      </c>
      <c r="C41" s="223" t="s">
        <v>453</v>
      </c>
      <c r="D41" s="223" t="s">
        <v>454</v>
      </c>
      <c r="E41" s="223">
        <v>0</v>
      </c>
      <c r="F41" s="223" t="s">
        <v>455</v>
      </c>
      <c r="G41" s="223" t="s">
        <v>456</v>
      </c>
      <c r="H41" s="224">
        <v>0</v>
      </c>
      <c r="I41" s="224">
        <v>0</v>
      </c>
      <c r="J41" s="224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X41" s="116"/>
      <c r="Y41" s="116"/>
      <c r="Z41" s="116"/>
    </row>
    <row r="42" spans="2:26" x14ac:dyDescent="0.25">
      <c r="B42" s="223" t="s">
        <v>443</v>
      </c>
      <c r="C42" s="223" t="s">
        <v>453</v>
      </c>
      <c r="D42" s="223" t="s">
        <v>454</v>
      </c>
      <c r="E42" s="223">
        <v>0</v>
      </c>
      <c r="F42" s="223" t="s">
        <v>457</v>
      </c>
      <c r="G42" s="223" t="s">
        <v>457</v>
      </c>
      <c r="H42" s="224">
        <v>37802</v>
      </c>
      <c r="I42" s="224">
        <v>75604</v>
      </c>
      <c r="J42" s="224">
        <v>75604</v>
      </c>
      <c r="K42" s="224">
        <v>10000</v>
      </c>
      <c r="L42" s="224">
        <v>15000</v>
      </c>
      <c r="M42" s="224">
        <v>15000</v>
      </c>
      <c r="N42" s="224">
        <v>0</v>
      </c>
      <c r="O42" s="224">
        <v>0</v>
      </c>
      <c r="P42" s="224">
        <v>0</v>
      </c>
      <c r="Q42" s="224">
        <v>0</v>
      </c>
      <c r="R42" s="224">
        <v>0</v>
      </c>
      <c r="S42" s="224">
        <v>0</v>
      </c>
      <c r="T42" s="224">
        <v>47802</v>
      </c>
      <c r="U42" s="224">
        <v>90604</v>
      </c>
      <c r="V42" s="224">
        <v>90604</v>
      </c>
      <c r="X42" s="116"/>
      <c r="Y42" s="116"/>
      <c r="Z42" s="116"/>
    </row>
    <row r="43" spans="2:26" x14ac:dyDescent="0.25">
      <c r="B43" s="223" t="s">
        <v>443</v>
      </c>
      <c r="C43" s="223" t="s">
        <v>458</v>
      </c>
      <c r="D43" s="223" t="s">
        <v>459</v>
      </c>
      <c r="E43" s="223">
        <v>0</v>
      </c>
      <c r="F43" s="223" t="s">
        <v>460</v>
      </c>
      <c r="G43" s="223" t="s">
        <v>461</v>
      </c>
      <c r="H43" s="224">
        <v>39146.556036719485</v>
      </c>
      <c r="I43" s="224">
        <v>83467.937750061494</v>
      </c>
      <c r="J43" s="224">
        <v>83581.139678412626</v>
      </c>
      <c r="K43" s="224">
        <v>95121.860935673569</v>
      </c>
      <c r="L43" s="224">
        <v>141156.35546287306</v>
      </c>
      <c r="M43" s="224">
        <v>141724.93572451101</v>
      </c>
      <c r="N43" s="224">
        <v>368362.03622400004</v>
      </c>
      <c r="O43" s="224">
        <v>1295233.7448960003</v>
      </c>
      <c r="P43" s="224">
        <v>1295233.7448960003</v>
      </c>
      <c r="Q43" s="224">
        <v>34756.86113857539</v>
      </c>
      <c r="R43" s="224">
        <v>139027.44455430156</v>
      </c>
      <c r="S43" s="224">
        <v>139027.44455430156</v>
      </c>
      <c r="T43" s="224">
        <v>537387.31433496845</v>
      </c>
      <c r="U43" s="224">
        <v>1658885.4826632366</v>
      </c>
      <c r="V43" s="224">
        <v>1659567.2648532256</v>
      </c>
      <c r="X43" s="116"/>
      <c r="Y43" s="116"/>
      <c r="Z43" s="116"/>
    </row>
    <row r="44" spans="2:26" x14ac:dyDescent="0.25">
      <c r="B44" s="223" t="s">
        <v>443</v>
      </c>
      <c r="C44" s="223" t="s">
        <v>458</v>
      </c>
      <c r="D44" s="223" t="s">
        <v>459</v>
      </c>
      <c r="E44" s="223">
        <v>0</v>
      </c>
      <c r="F44" s="223" t="s">
        <v>460</v>
      </c>
      <c r="G44" s="223" t="s">
        <v>462</v>
      </c>
      <c r="H44" s="224">
        <v>77557.81578811584</v>
      </c>
      <c r="I44" s="224">
        <v>193031.68078151756</v>
      </c>
      <c r="J44" s="224">
        <v>193272.36265495807</v>
      </c>
      <c r="K44" s="224">
        <v>203417.63641184333</v>
      </c>
      <c r="L44" s="224">
        <v>335809.08665847161</v>
      </c>
      <c r="M44" s="224">
        <v>337017.96149448882</v>
      </c>
      <c r="N44" s="224">
        <v>1642685.2915200002</v>
      </c>
      <c r="O44" s="224">
        <v>6392526.7660800004</v>
      </c>
      <c r="P44" s="224">
        <v>6392526.7660800004</v>
      </c>
      <c r="Q44" s="224">
        <v>176022.4542771508</v>
      </c>
      <c r="R44" s="224">
        <v>704089.81710860319</v>
      </c>
      <c r="S44" s="224">
        <v>704089.81710860319</v>
      </c>
      <c r="T44" s="224">
        <v>2099683.19799711</v>
      </c>
      <c r="U44" s="224">
        <v>7625457.350628593</v>
      </c>
      <c r="V44" s="224">
        <v>7626906.9073380502</v>
      </c>
      <c r="X44" s="116"/>
      <c r="Y44" s="116"/>
      <c r="Z44" s="116"/>
    </row>
    <row r="45" spans="2:26" x14ac:dyDescent="0.25">
      <c r="B45" s="223" t="s">
        <v>443</v>
      </c>
      <c r="C45" s="223" t="s">
        <v>463</v>
      </c>
      <c r="D45" s="223" t="s">
        <v>464</v>
      </c>
      <c r="E45" s="223">
        <v>0</v>
      </c>
      <c r="F45" s="223" t="s">
        <v>465</v>
      </c>
      <c r="G45" s="223" t="s">
        <v>466</v>
      </c>
      <c r="H45" s="224">
        <v>36626.553446860671</v>
      </c>
      <c r="I45" s="224">
        <v>73412.433630176267</v>
      </c>
      <c r="J45" s="224">
        <v>73515.151126746816</v>
      </c>
      <c r="K45" s="224">
        <v>90523.321505487082</v>
      </c>
      <c r="L45" s="224">
        <v>123682.29325064673</v>
      </c>
      <c r="M45" s="224">
        <v>124198.2132700806</v>
      </c>
      <c r="N45" s="224">
        <v>217134.71707200003</v>
      </c>
      <c r="O45" s="224">
        <v>695893.66828800004</v>
      </c>
      <c r="P45" s="224">
        <v>695893.66828800004</v>
      </c>
      <c r="Q45" s="224">
        <v>18692.554</v>
      </c>
      <c r="R45" s="224">
        <v>74770.216</v>
      </c>
      <c r="S45" s="224">
        <v>74770.216</v>
      </c>
      <c r="T45" s="224">
        <v>362977.14602434775</v>
      </c>
      <c r="U45" s="224">
        <v>967758.61116882309</v>
      </c>
      <c r="V45" s="224">
        <v>968377.24868482747</v>
      </c>
      <c r="X45" s="116"/>
      <c r="Y45" s="116"/>
      <c r="Z45" s="116"/>
    </row>
    <row r="46" spans="2:26" x14ac:dyDescent="0.25">
      <c r="B46" s="223" t="s">
        <v>443</v>
      </c>
      <c r="C46" s="223" t="s">
        <v>463</v>
      </c>
      <c r="D46" s="223" t="s">
        <v>464</v>
      </c>
      <c r="E46" s="223">
        <v>0</v>
      </c>
      <c r="F46" s="223" t="s">
        <v>465</v>
      </c>
      <c r="G46" s="223" t="s">
        <v>467</v>
      </c>
      <c r="H46" s="224">
        <v>56806.156806428429</v>
      </c>
      <c r="I46" s="224">
        <v>109895.95543968228</v>
      </c>
      <c r="J46" s="224">
        <v>110111.51628881076</v>
      </c>
      <c r="K46" s="224">
        <v>177378.62972443033</v>
      </c>
      <c r="L46" s="224">
        <v>236551.94405910064</v>
      </c>
      <c r="M46" s="224">
        <v>237546.16543932786</v>
      </c>
      <c r="N46" s="224">
        <v>217134.71707200003</v>
      </c>
      <c r="O46" s="224">
        <v>695893.66828800004</v>
      </c>
      <c r="P46" s="224">
        <v>697361.15248800011</v>
      </c>
      <c r="Q46" s="224">
        <v>18692.554</v>
      </c>
      <c r="R46" s="224">
        <v>74770.216</v>
      </c>
      <c r="S46" s="224">
        <v>75174.366000000009</v>
      </c>
      <c r="T46" s="224">
        <v>470012.05760285875</v>
      </c>
      <c r="U46" s="224">
        <v>1117111.783786783</v>
      </c>
      <c r="V46" s="224">
        <v>1120193.2002161387</v>
      </c>
      <c r="X46" s="116"/>
      <c r="Y46" s="116"/>
      <c r="Z46" s="116"/>
    </row>
    <row r="47" spans="2:26" x14ac:dyDescent="0.25">
      <c r="B47" s="223" t="s">
        <v>443</v>
      </c>
      <c r="C47" s="223" t="s">
        <v>468</v>
      </c>
      <c r="D47" s="223" t="s">
        <v>469</v>
      </c>
      <c r="E47" s="223">
        <v>0</v>
      </c>
      <c r="F47" s="223" t="s">
        <v>470</v>
      </c>
      <c r="G47" s="223" t="s">
        <v>471</v>
      </c>
      <c r="H47" s="224">
        <v>35511.060582429083</v>
      </c>
      <c r="I47" s="224">
        <v>68736.535141930042</v>
      </c>
      <c r="J47" s="224">
        <v>68838.178073996445</v>
      </c>
      <c r="K47" s="224">
        <v>89941.478625637144</v>
      </c>
      <c r="L47" s="224">
        <v>121141.84864811163</v>
      </c>
      <c r="M47" s="224">
        <v>121652.37144352456</v>
      </c>
      <c r="N47" s="224">
        <v>128170.64551200002</v>
      </c>
      <c r="O47" s="224">
        <v>327197.18304000003</v>
      </c>
      <c r="P47" s="224">
        <v>327197.18304000003</v>
      </c>
      <c r="Q47" s="224">
        <v>8345.8091415726158</v>
      </c>
      <c r="R47" s="224">
        <v>30513.69713857539</v>
      </c>
      <c r="S47" s="224">
        <v>30513.69713857539</v>
      </c>
      <c r="T47" s="224">
        <v>261968.99386163888</v>
      </c>
      <c r="U47" s="224">
        <v>547589.26396861707</v>
      </c>
      <c r="V47" s="224">
        <v>548201.42969609646</v>
      </c>
      <c r="X47" s="116"/>
      <c r="Y47" s="116"/>
      <c r="Z47" s="116"/>
    </row>
    <row r="48" spans="2:26" x14ac:dyDescent="0.25">
      <c r="B48" s="223" t="s">
        <v>443</v>
      </c>
      <c r="C48" s="223" t="s">
        <v>468</v>
      </c>
      <c r="D48" s="223" t="s">
        <v>469</v>
      </c>
      <c r="E48" s="223">
        <v>0</v>
      </c>
      <c r="F48" s="223" t="s">
        <v>470</v>
      </c>
      <c r="G48" s="223" t="s">
        <v>472</v>
      </c>
      <c r="H48" s="224">
        <v>55690.663941996834</v>
      </c>
      <c r="I48" s="224">
        <v>105396.43518220578</v>
      </c>
      <c r="J48" s="224">
        <v>105579.99800995906</v>
      </c>
      <c r="K48" s="224">
        <v>176796.78684458041</v>
      </c>
      <c r="L48" s="224">
        <v>234164.29933712355</v>
      </c>
      <c r="M48" s="224">
        <v>235086.28187002885</v>
      </c>
      <c r="N48" s="224">
        <v>128170.64551200002</v>
      </c>
      <c r="O48" s="224">
        <v>340037.38204800006</v>
      </c>
      <c r="P48" s="224">
        <v>340037.38204800006</v>
      </c>
      <c r="Q48" s="224">
        <v>8345.8091415726158</v>
      </c>
      <c r="R48" s="224">
        <v>32251.953138575387</v>
      </c>
      <c r="S48" s="224">
        <v>32251.953138575387</v>
      </c>
      <c r="T48" s="224">
        <v>369003.90544014989</v>
      </c>
      <c r="U48" s="224">
        <v>711850.06970590481</v>
      </c>
      <c r="V48" s="224">
        <v>712955.61506656348</v>
      </c>
      <c r="X48" s="116"/>
      <c r="Y48" s="116"/>
      <c r="Z48" s="116"/>
    </row>
    <row r="49" spans="2:26" x14ac:dyDescent="0.25">
      <c r="B49" s="223" t="s">
        <v>395</v>
      </c>
      <c r="C49" s="223" t="s">
        <v>395</v>
      </c>
      <c r="D49" s="223" t="s">
        <v>395</v>
      </c>
      <c r="E49" s="223">
        <v>0</v>
      </c>
      <c r="F49" s="223" t="s">
        <v>395</v>
      </c>
      <c r="G49" s="223" t="s">
        <v>395</v>
      </c>
      <c r="H49" s="224">
        <v>0</v>
      </c>
      <c r="I49" s="224">
        <v>0</v>
      </c>
      <c r="J49" s="224">
        <v>0</v>
      </c>
      <c r="K49" s="224">
        <v>0</v>
      </c>
      <c r="L49" s="224">
        <v>0</v>
      </c>
      <c r="M49" s="224">
        <v>0</v>
      </c>
      <c r="N49" s="224">
        <v>0</v>
      </c>
      <c r="O49" s="224">
        <v>0</v>
      </c>
      <c r="P49" s="224">
        <v>0</v>
      </c>
      <c r="Q49" s="224">
        <v>0</v>
      </c>
      <c r="R49" s="224">
        <v>0</v>
      </c>
      <c r="S49" s="224">
        <v>0</v>
      </c>
      <c r="T49" s="224">
        <v>0</v>
      </c>
      <c r="U49" s="224">
        <v>0</v>
      </c>
      <c r="V49" s="224">
        <v>0</v>
      </c>
      <c r="X49" s="116"/>
      <c r="Y49" s="116"/>
      <c r="Z49" s="116"/>
    </row>
    <row r="50" spans="2:26" x14ac:dyDescent="0.25">
      <c r="B50" s="223" t="s">
        <v>395</v>
      </c>
      <c r="C50" s="223" t="s">
        <v>395</v>
      </c>
      <c r="D50" s="223" t="s">
        <v>395</v>
      </c>
      <c r="E50" s="223">
        <v>0</v>
      </c>
      <c r="F50" s="223" t="s">
        <v>473</v>
      </c>
      <c r="G50" s="223" t="s">
        <v>473</v>
      </c>
      <c r="H50" s="224">
        <v>300000</v>
      </c>
      <c r="I50" s="224">
        <v>600000</v>
      </c>
      <c r="J50" s="224">
        <v>600000</v>
      </c>
      <c r="K50" s="224">
        <v>0</v>
      </c>
      <c r="L50" s="224">
        <v>0</v>
      </c>
      <c r="M50" s="224">
        <v>0</v>
      </c>
      <c r="N50" s="224">
        <v>0</v>
      </c>
      <c r="O50" s="224">
        <v>0</v>
      </c>
      <c r="P50" s="224">
        <v>0</v>
      </c>
      <c r="Q50" s="224">
        <v>0</v>
      </c>
      <c r="R50" s="224">
        <v>0</v>
      </c>
      <c r="S50" s="224">
        <v>0</v>
      </c>
      <c r="T50" s="224">
        <v>300000</v>
      </c>
      <c r="U50" s="224">
        <v>600000</v>
      </c>
      <c r="V50" s="224">
        <v>600000</v>
      </c>
      <c r="X50" s="116"/>
      <c r="Y50" s="116"/>
      <c r="Z50" s="116"/>
    </row>
    <row r="51" spans="2:26" x14ac:dyDescent="0.25">
      <c r="B51" s="223" t="s">
        <v>395</v>
      </c>
      <c r="C51" s="223" t="s">
        <v>395</v>
      </c>
      <c r="D51" s="223" t="s">
        <v>395</v>
      </c>
      <c r="E51" s="223">
        <v>0</v>
      </c>
      <c r="F51" s="223" t="s">
        <v>474</v>
      </c>
      <c r="G51" s="223" t="s">
        <v>474</v>
      </c>
      <c r="H51" s="224">
        <v>125000</v>
      </c>
      <c r="I51" s="224">
        <v>250000</v>
      </c>
      <c r="J51" s="224">
        <v>250000</v>
      </c>
      <c r="K51" s="224">
        <v>0</v>
      </c>
      <c r="L51" s="224">
        <v>0</v>
      </c>
      <c r="M51" s="224">
        <v>0</v>
      </c>
      <c r="N51" s="224">
        <v>0</v>
      </c>
      <c r="O51" s="224">
        <v>0</v>
      </c>
      <c r="P51" s="224">
        <v>0</v>
      </c>
      <c r="Q51" s="224">
        <v>0</v>
      </c>
      <c r="R51" s="224">
        <v>0</v>
      </c>
      <c r="S51" s="224">
        <v>0</v>
      </c>
      <c r="T51" s="224">
        <v>125000</v>
      </c>
      <c r="U51" s="224">
        <v>250000</v>
      </c>
      <c r="V51" s="224">
        <v>250000</v>
      </c>
      <c r="X51" s="116"/>
      <c r="Y51" s="116"/>
      <c r="Z51" s="116"/>
    </row>
    <row r="52" spans="2:26" x14ac:dyDescent="0.25">
      <c r="B52" s="223" t="s">
        <v>395</v>
      </c>
      <c r="C52" s="223" t="s">
        <v>395</v>
      </c>
      <c r="D52" s="223" t="s">
        <v>395</v>
      </c>
      <c r="E52" s="223">
        <v>0</v>
      </c>
      <c r="F52" s="223" t="s">
        <v>395</v>
      </c>
      <c r="G52" s="223" t="s">
        <v>395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24">
        <v>0</v>
      </c>
      <c r="T52" s="224">
        <v>0</v>
      </c>
      <c r="U52" s="224">
        <v>0</v>
      </c>
      <c r="V52" s="224">
        <v>0</v>
      </c>
      <c r="X52" s="116"/>
      <c r="Y52" s="116"/>
      <c r="Z52" s="116"/>
    </row>
    <row r="53" spans="2:26" x14ac:dyDescent="0.25">
      <c r="B53" s="223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4">
        <v>0</v>
      </c>
      <c r="N53" s="224">
        <v>0</v>
      </c>
      <c r="O53" s="224">
        <v>0</v>
      </c>
      <c r="P53" s="224">
        <v>0</v>
      </c>
      <c r="Q53" s="224">
        <v>0</v>
      </c>
      <c r="R53" s="224">
        <v>0</v>
      </c>
      <c r="S53" s="224">
        <v>0</v>
      </c>
      <c r="T53" s="224">
        <v>0</v>
      </c>
      <c r="U53" s="224">
        <v>0</v>
      </c>
      <c r="V53" s="224">
        <v>0</v>
      </c>
      <c r="X53" s="116"/>
      <c r="Y53" s="116"/>
      <c r="Z53" s="116"/>
    </row>
    <row r="54" spans="2:26" x14ac:dyDescent="0.25">
      <c r="B54" s="223">
        <v>0</v>
      </c>
      <c r="C54" s="223">
        <v>0</v>
      </c>
      <c r="D54" s="223">
        <v>0</v>
      </c>
      <c r="E54" s="223">
        <v>0</v>
      </c>
      <c r="F54" s="223">
        <v>0</v>
      </c>
      <c r="G54" s="223" t="s">
        <v>340</v>
      </c>
      <c r="H54" s="225">
        <v>6403420.3717564661</v>
      </c>
      <c r="I54" s="225">
        <v>13246990.22664036</v>
      </c>
      <c r="J54" s="225">
        <v>13442000.559215123</v>
      </c>
      <c r="K54" s="225">
        <v>30974477.557562634</v>
      </c>
      <c r="L54" s="225">
        <v>58166276.005307853</v>
      </c>
      <c r="M54" s="225">
        <v>59031340.396147862</v>
      </c>
      <c r="N54" s="225">
        <v>77087408.490903258</v>
      </c>
      <c r="O54" s="225">
        <v>168028595.95653763</v>
      </c>
      <c r="P54" s="225">
        <v>170872633.24339828</v>
      </c>
      <c r="Q54" s="225">
        <v>32959003.224840675</v>
      </c>
      <c r="R54" s="225">
        <v>71460733.293888599</v>
      </c>
      <c r="S54" s="225">
        <v>72268282.472228453</v>
      </c>
      <c r="T54" s="225">
        <v>147424309.64506304</v>
      </c>
      <c r="U54" s="225">
        <v>310902595.48237443</v>
      </c>
      <c r="V54" s="225">
        <v>315614256.67098975</v>
      </c>
    </row>
    <row r="55" spans="2:26" x14ac:dyDescent="0.25">
      <c r="H55" s="116">
        <f t="shared" ref="H55:P55" si="0">H54</f>
        <v>6403420.3717564661</v>
      </c>
      <c r="I55" s="116">
        <f t="shared" si="0"/>
        <v>13246990.22664036</v>
      </c>
      <c r="J55" s="116">
        <f t="shared" si="0"/>
        <v>13442000.559215123</v>
      </c>
      <c r="K55" s="116">
        <f t="shared" si="0"/>
        <v>30974477.557562634</v>
      </c>
      <c r="L55" s="116">
        <f t="shared" si="0"/>
        <v>58166276.005307853</v>
      </c>
      <c r="M55" s="116">
        <f t="shared" si="0"/>
        <v>59031340.396147862</v>
      </c>
      <c r="N55" s="116">
        <f t="shared" si="0"/>
        <v>77087408.490903258</v>
      </c>
      <c r="O55" s="116">
        <f t="shared" si="0"/>
        <v>168028595.95653763</v>
      </c>
      <c r="P55" s="116">
        <f t="shared" si="0"/>
        <v>170872633.24339828</v>
      </c>
      <c r="Q55" s="116">
        <f t="shared" ref="Q55:Q64" si="1">SUM(H55:P55)</f>
        <v>597253142.80746949</v>
      </c>
      <c r="R55" t="s">
        <v>373</v>
      </c>
      <c r="S55" s="1" t="s">
        <v>290</v>
      </c>
      <c r="T55" s="1" t="s">
        <v>475</v>
      </c>
    </row>
    <row r="56" spans="2:26" x14ac:dyDescent="0.25">
      <c r="G56" t="s">
        <v>476</v>
      </c>
      <c r="H56" s="116">
        <f>SUM(H9:H12)</f>
        <v>537438.19021530019</v>
      </c>
      <c r="I56" s="116">
        <f t="shared" ref="I56:P56" si="2">SUM(I9:I12)</f>
        <v>1002224.6183719172</v>
      </c>
      <c r="J56" s="116">
        <f t="shared" si="2"/>
        <v>1011635.1850268664</v>
      </c>
      <c r="K56" s="116">
        <f t="shared" si="2"/>
        <v>2404799.5196757442</v>
      </c>
      <c r="L56" s="116">
        <f t="shared" si="2"/>
        <v>3853614.4679206768</v>
      </c>
      <c r="M56" s="116">
        <f t="shared" si="2"/>
        <v>3902404.0927861743</v>
      </c>
      <c r="N56" s="116">
        <f t="shared" si="2"/>
        <v>6770830.2800000003</v>
      </c>
      <c r="O56" s="116">
        <f t="shared" si="2"/>
        <v>12382601.602500001</v>
      </c>
      <c r="P56" s="116">
        <f t="shared" si="2"/>
        <v>12551258.1175</v>
      </c>
      <c r="Q56" s="226">
        <f t="shared" si="1"/>
        <v>44416806.073996678</v>
      </c>
      <c r="R56" s="226">
        <f>H56+I56+J56</f>
        <v>2551297.9936140836</v>
      </c>
      <c r="S56" s="116">
        <f>K56+L56+M56+N56+O56+P56</f>
        <v>41865508.080382593</v>
      </c>
      <c r="T56" s="227">
        <v>44365508</v>
      </c>
      <c r="U56" s="116">
        <f>S56-T56</f>
        <v>-2499999.919617407</v>
      </c>
    </row>
    <row r="57" spans="2:26" x14ac:dyDescent="0.25">
      <c r="G57" t="s">
        <v>408</v>
      </c>
      <c r="H57" s="116">
        <f>SUM(H13:H14)</f>
        <v>567248.6679412477</v>
      </c>
      <c r="I57" s="116">
        <f t="shared" ref="I57:P57" si="3">SUM(I13:I14)</f>
        <v>1179649.09193346</v>
      </c>
      <c r="J57" s="116">
        <f t="shared" si="3"/>
        <v>1195276.1929447749</v>
      </c>
      <c r="K57" s="116">
        <f t="shared" si="3"/>
        <v>2901801.3113958137</v>
      </c>
      <c r="L57" s="116">
        <f t="shared" si="3"/>
        <v>5458785.297858607</v>
      </c>
      <c r="M57" s="116">
        <f t="shared" si="3"/>
        <v>5505262.9309362713</v>
      </c>
      <c r="N57" s="116">
        <f t="shared" si="3"/>
        <v>9755238.4000000004</v>
      </c>
      <c r="O57" s="116">
        <f t="shared" si="3"/>
        <v>21049206.240000002</v>
      </c>
      <c r="P57" s="116">
        <f t="shared" si="3"/>
        <v>21332242.399999999</v>
      </c>
      <c r="Q57" s="226">
        <f t="shared" si="1"/>
        <v>68944710.533010185</v>
      </c>
      <c r="R57" s="226">
        <f t="shared" ref="R57:R68" si="4">H57+I57+J57</f>
        <v>2942173.9528194824</v>
      </c>
      <c r="S57" s="116">
        <f t="shared" ref="S57:S68" si="5">K57+L57+M57+N57+O57+P57</f>
        <v>66002536.580190696</v>
      </c>
      <c r="T57" s="228">
        <v>72002537</v>
      </c>
      <c r="U57" s="116">
        <f t="shared" ref="U57:U68" si="6">S57-T57</f>
        <v>-6000000.4198093042</v>
      </c>
    </row>
    <row r="58" spans="2:26" x14ac:dyDescent="0.25">
      <c r="G58" t="str">
        <f>F15</f>
        <v>Income Qualified - MI Wx</v>
      </c>
      <c r="H58" s="116">
        <f>H15+H16</f>
        <v>110734.4522359668</v>
      </c>
      <c r="I58" s="116">
        <f t="shared" ref="I58:P58" si="7">I15+I16</f>
        <v>219874.21877474041</v>
      </c>
      <c r="J58" s="116">
        <f t="shared" si="7"/>
        <v>222651.4076643968</v>
      </c>
      <c r="K58" s="116">
        <f t="shared" si="7"/>
        <v>619529.15343451418</v>
      </c>
      <c r="L58" s="116">
        <f t="shared" si="7"/>
        <v>1058849.3078591453</v>
      </c>
      <c r="M58" s="116">
        <f t="shared" si="7"/>
        <v>1067665.7790895524</v>
      </c>
      <c r="N58" s="116">
        <f t="shared" si="7"/>
        <v>2981945</v>
      </c>
      <c r="O58" s="116">
        <f t="shared" si="7"/>
        <v>6431890</v>
      </c>
      <c r="P58" s="116">
        <f t="shared" si="7"/>
        <v>6522890</v>
      </c>
      <c r="Q58" s="226">
        <f t="shared" si="1"/>
        <v>19236029.319058314</v>
      </c>
      <c r="R58" s="226">
        <f t="shared" si="4"/>
        <v>553260.07867510407</v>
      </c>
      <c r="S58" s="116">
        <f t="shared" si="5"/>
        <v>18682769.240383212</v>
      </c>
      <c r="T58" s="228">
        <v>18682769</v>
      </c>
      <c r="U58" s="116">
        <f t="shared" si="6"/>
        <v>0.24038321152329445</v>
      </c>
    </row>
    <row r="59" spans="2:26" x14ac:dyDescent="0.25">
      <c r="G59" t="str">
        <f>F17</f>
        <v>Behavioral</v>
      </c>
      <c r="H59" s="116">
        <f>H17+H18</f>
        <v>102911.11187880603</v>
      </c>
      <c r="I59" s="116">
        <f t="shared" ref="I59:P59" si="8">I17+I18</f>
        <v>210931.04092739659</v>
      </c>
      <c r="J59" s="116">
        <f t="shared" si="8"/>
        <v>212434.83487721763</v>
      </c>
      <c r="K59" s="116">
        <f t="shared" si="8"/>
        <v>1328381.3998024412</v>
      </c>
      <c r="L59" s="116">
        <f t="shared" si="8"/>
        <v>2530297.5942300102</v>
      </c>
      <c r="M59" s="116">
        <f t="shared" si="8"/>
        <v>2537878.1164782806</v>
      </c>
      <c r="N59" s="116">
        <f t="shared" si="8"/>
        <v>0</v>
      </c>
      <c r="O59" s="116">
        <f t="shared" si="8"/>
        <v>0</v>
      </c>
      <c r="P59" s="116">
        <f t="shared" si="8"/>
        <v>0</v>
      </c>
      <c r="Q59" s="226">
        <f t="shared" si="1"/>
        <v>6922834.0981941521</v>
      </c>
      <c r="R59" s="116">
        <f t="shared" si="4"/>
        <v>526276.9876834203</v>
      </c>
      <c r="S59" s="116">
        <f t="shared" si="5"/>
        <v>6396557.110510732</v>
      </c>
      <c r="T59" s="228">
        <v>6396557</v>
      </c>
      <c r="U59" s="116">
        <f t="shared" si="6"/>
        <v>0.11051073204725981</v>
      </c>
    </row>
    <row r="60" spans="2:26" x14ac:dyDescent="0.25">
      <c r="G60" t="str">
        <f>F19</f>
        <v>Multifamily</v>
      </c>
      <c r="H60" s="116">
        <f>H19+H20</f>
        <v>61369.223842281426</v>
      </c>
      <c r="I60" s="116">
        <f t="shared" ref="I60:P60" si="9">I19+I20</f>
        <v>115026.69355124998</v>
      </c>
      <c r="J60" s="116">
        <f t="shared" si="9"/>
        <v>116101.14834691203</v>
      </c>
      <c r="K60" s="116">
        <f t="shared" si="9"/>
        <v>328696.68709276465</v>
      </c>
      <c r="L60" s="116">
        <f t="shared" si="9"/>
        <v>485392.26070548745</v>
      </c>
      <c r="M60" s="116">
        <f t="shared" si="9"/>
        <v>488003.05378805153</v>
      </c>
      <c r="N60" s="116">
        <f t="shared" si="9"/>
        <v>698309.43823505216</v>
      </c>
      <c r="O60" s="116">
        <f t="shared" si="9"/>
        <v>1483871.0956061166</v>
      </c>
      <c r="P60" s="116">
        <f t="shared" si="9"/>
        <v>1499268.5460418835</v>
      </c>
      <c r="Q60" s="226">
        <f t="shared" si="1"/>
        <v>5276038.1472097989</v>
      </c>
      <c r="R60" s="116">
        <f t="shared" si="4"/>
        <v>292497.06574044342</v>
      </c>
      <c r="S60" s="116">
        <f t="shared" si="5"/>
        <v>4983541.0814693561</v>
      </c>
      <c r="T60" s="228">
        <v>4983541</v>
      </c>
      <c r="U60" s="116">
        <f t="shared" si="6"/>
        <v>8.1469356082379818E-2</v>
      </c>
    </row>
    <row r="61" spans="2:26" x14ac:dyDescent="0.25">
      <c r="G61" t="str">
        <f>F21</f>
        <v>Direct Install</v>
      </c>
      <c r="H61" s="116">
        <f>H21</f>
        <v>797063.24581948225</v>
      </c>
      <c r="I61" s="116">
        <f t="shared" ref="I61:P61" si="10">I21</f>
        <v>1913695.0337629188</v>
      </c>
      <c r="J61" s="116">
        <f t="shared" si="10"/>
        <v>1939248.1447677317</v>
      </c>
      <c r="K61" s="116">
        <f t="shared" si="10"/>
        <v>4816098.3604671359</v>
      </c>
      <c r="L61" s="116">
        <f t="shared" si="10"/>
        <v>10787730.560654169</v>
      </c>
      <c r="M61" s="116">
        <f t="shared" si="10"/>
        <v>10867107.24884109</v>
      </c>
      <c r="N61" s="116">
        <f t="shared" si="10"/>
        <v>12088628.657819999</v>
      </c>
      <c r="O61" s="116">
        <f t="shared" si="10"/>
        <v>30232364.583564002</v>
      </c>
      <c r="P61" s="116">
        <f t="shared" si="10"/>
        <v>30584396.962548003</v>
      </c>
      <c r="Q61" s="226">
        <f t="shared" si="1"/>
        <v>104026332.79824454</v>
      </c>
      <c r="R61" s="116">
        <f t="shared" si="4"/>
        <v>4650006.4243501322</v>
      </c>
      <c r="S61" s="116">
        <f t="shared" si="5"/>
        <v>99376326.373894393</v>
      </c>
      <c r="T61" s="228">
        <v>107876326</v>
      </c>
      <c r="U61" s="116">
        <f t="shared" si="6"/>
        <v>-8499999.6261056066</v>
      </c>
    </row>
    <row r="62" spans="2:26" x14ac:dyDescent="0.25">
      <c r="G62" t="str">
        <f>F22</f>
        <v>Prescriptive / Custom</v>
      </c>
      <c r="H62" s="116">
        <f>SUM(H22:H30)</f>
        <v>1286335.9212222125</v>
      </c>
      <c r="I62" s="116">
        <f t="shared" ref="I62:P62" si="11">SUM(I22:I30)</f>
        <v>2498413.2926552901</v>
      </c>
      <c r="J62" s="116">
        <f t="shared" si="11"/>
        <v>2526524.8995226556</v>
      </c>
      <c r="K62" s="116">
        <f t="shared" si="11"/>
        <v>5247271.1117425058</v>
      </c>
      <c r="L62" s="116">
        <f t="shared" si="11"/>
        <v>9057059.506580865</v>
      </c>
      <c r="M62" s="116">
        <f t="shared" si="11"/>
        <v>9185051.1809821799</v>
      </c>
      <c r="N62" s="116">
        <f t="shared" si="11"/>
        <v>18615713.272189453</v>
      </c>
      <c r="O62" s="116">
        <f t="shared" si="11"/>
        <v>35382436.640007049</v>
      </c>
      <c r="P62" s="116">
        <f t="shared" si="11"/>
        <v>35851888.477823108</v>
      </c>
      <c r="Q62" s="226">
        <f t="shared" si="1"/>
        <v>119650694.30272532</v>
      </c>
      <c r="R62" s="116">
        <f t="shared" si="4"/>
        <v>6311274.1134001585</v>
      </c>
      <c r="S62" s="116">
        <f t="shared" si="5"/>
        <v>113339420.18932515</v>
      </c>
      <c r="T62" s="228">
        <v>123839420</v>
      </c>
      <c r="U62" s="116">
        <f t="shared" si="6"/>
        <v>-10499999.810674846</v>
      </c>
    </row>
    <row r="63" spans="2:26" x14ac:dyDescent="0.25">
      <c r="G63" t="str">
        <f>F31</f>
        <v>Energy Solutions</v>
      </c>
      <c r="H63" s="116">
        <f>H31+H32+H33+H34+H35+H36+H37</f>
        <v>2072252.7513694093</v>
      </c>
      <c r="I63" s="116">
        <f t="shared" ref="I63:P63" si="12">I31+I32+I33+I34+I35+I36+I37</f>
        <v>4405671.1279688934</v>
      </c>
      <c r="J63" s="116">
        <f t="shared" si="12"/>
        <v>4478748.6493546534</v>
      </c>
      <c r="K63" s="116">
        <f t="shared" si="12"/>
        <v>11739993.1905277</v>
      </c>
      <c r="L63" s="116">
        <f t="shared" si="12"/>
        <v>22761899.175212312</v>
      </c>
      <c r="M63" s="116">
        <f t="shared" si="12"/>
        <v>23060005.021306291</v>
      </c>
      <c r="N63" s="116">
        <f t="shared" si="12"/>
        <v>21844610.389746781</v>
      </c>
      <c r="O63" s="116">
        <f t="shared" si="12"/>
        <v>49157759.627220504</v>
      </c>
      <c r="P63" s="116">
        <f t="shared" si="12"/>
        <v>50043240.842645302</v>
      </c>
      <c r="Q63" s="226">
        <f t="shared" si="1"/>
        <v>189564180.77535188</v>
      </c>
      <c r="R63" s="116">
        <f t="shared" si="4"/>
        <v>10956672.528692957</v>
      </c>
      <c r="S63" s="116">
        <f t="shared" si="5"/>
        <v>178607508.24665892</v>
      </c>
      <c r="T63" s="228">
        <v>194107508</v>
      </c>
      <c r="U63" s="116">
        <f t="shared" si="6"/>
        <v>-15499999.753341079</v>
      </c>
    </row>
    <row r="64" spans="2:26" x14ac:dyDescent="0.25">
      <c r="G64" t="str">
        <f>F38</f>
        <v>Load Optimization &amp; PDR -  Res</v>
      </c>
      <c r="H64" s="116">
        <f>H38+H39</f>
        <v>103926.00062920945</v>
      </c>
      <c r="I64" s="116">
        <f t="shared" ref="I64:P64" si="13">I38+I39</f>
        <v>141960.13076891904</v>
      </c>
      <c r="J64" s="116">
        <f t="shared" si="13"/>
        <v>178877.75087703165</v>
      </c>
      <c r="K64" s="116">
        <f t="shared" si="13"/>
        <v>744727.10937636404</v>
      </c>
      <c r="L64" s="116">
        <f t="shared" si="13"/>
        <v>965142.00687026198</v>
      </c>
      <c r="M64" s="116">
        <f t="shared" si="13"/>
        <v>1205737.0426980215</v>
      </c>
      <c r="N64" s="116">
        <f t="shared" si="13"/>
        <v>1630475</v>
      </c>
      <c r="O64" s="116">
        <f t="shared" si="13"/>
        <v>2161683.7549999999</v>
      </c>
      <c r="P64" s="116">
        <f t="shared" si="13"/>
        <v>2739197.9999999995</v>
      </c>
      <c r="Q64" s="226">
        <f t="shared" si="1"/>
        <v>9871726.7962198071</v>
      </c>
      <c r="R64" s="116">
        <f t="shared" si="4"/>
        <v>424763.88227516017</v>
      </c>
      <c r="S64" s="116">
        <f t="shared" si="5"/>
        <v>9446962.9139446467</v>
      </c>
      <c r="T64" s="228">
        <v>9446963</v>
      </c>
      <c r="U64" s="116">
        <f t="shared" si="6"/>
        <v>-8.6055353283882141E-2</v>
      </c>
    </row>
    <row r="65" spans="7:21" x14ac:dyDescent="0.25">
      <c r="G65" t="str">
        <f>F41</f>
        <v>Next Generation Savings</v>
      </c>
      <c r="H65" s="116">
        <f>H41</f>
        <v>0</v>
      </c>
      <c r="I65" s="116">
        <f t="shared" ref="I65:P66" si="14">I41</f>
        <v>0</v>
      </c>
      <c r="J65" s="116">
        <f t="shared" si="14"/>
        <v>0</v>
      </c>
      <c r="K65" s="116">
        <f t="shared" si="14"/>
        <v>0</v>
      </c>
      <c r="L65" s="116">
        <f t="shared" si="14"/>
        <v>0</v>
      </c>
      <c r="M65" s="116">
        <f t="shared" si="14"/>
        <v>0</v>
      </c>
      <c r="N65" s="116">
        <f t="shared" si="14"/>
        <v>0</v>
      </c>
      <c r="O65" s="116">
        <f t="shared" si="14"/>
        <v>0</v>
      </c>
      <c r="P65" s="116">
        <f t="shared" si="14"/>
        <v>0</v>
      </c>
      <c r="Q65" s="116">
        <f>SUM(H65:P65)</f>
        <v>0</v>
      </c>
      <c r="R65" s="116">
        <f t="shared" si="4"/>
        <v>0</v>
      </c>
      <c r="S65" s="116">
        <f t="shared" si="5"/>
        <v>0</v>
      </c>
      <c r="T65" s="228"/>
      <c r="U65" s="116">
        <f t="shared" si="6"/>
        <v>0</v>
      </c>
    </row>
    <row r="66" spans="7:21" x14ac:dyDescent="0.25">
      <c r="G66" t="str">
        <f>G42</f>
        <v>CVR</v>
      </c>
      <c r="H66" s="116">
        <f>H42</f>
        <v>37802</v>
      </c>
      <c r="I66" s="116">
        <f t="shared" si="14"/>
        <v>75604</v>
      </c>
      <c r="J66" s="116">
        <f t="shared" si="14"/>
        <v>75604</v>
      </c>
      <c r="K66" s="116">
        <f t="shared" si="14"/>
        <v>10000</v>
      </c>
      <c r="L66" s="116">
        <f t="shared" si="14"/>
        <v>15000</v>
      </c>
      <c r="M66" s="116">
        <f t="shared" si="14"/>
        <v>15000</v>
      </c>
      <c r="N66" s="116">
        <f t="shared" si="14"/>
        <v>0</v>
      </c>
      <c r="O66" s="116">
        <f t="shared" si="14"/>
        <v>0</v>
      </c>
      <c r="P66" s="116">
        <f t="shared" si="14"/>
        <v>0</v>
      </c>
      <c r="Q66" s="226">
        <f>SUM(H66:P66)</f>
        <v>229010</v>
      </c>
      <c r="R66" s="116">
        <f t="shared" si="4"/>
        <v>189010</v>
      </c>
      <c r="S66" s="116">
        <f t="shared" si="5"/>
        <v>40000</v>
      </c>
      <c r="T66" s="228">
        <v>40000</v>
      </c>
      <c r="U66" s="116">
        <f t="shared" si="6"/>
        <v>0</v>
      </c>
    </row>
    <row r="67" spans="7:21" x14ac:dyDescent="0.25">
      <c r="G67" t="str">
        <f>F43</f>
        <v>Building Decarbonization - Res</v>
      </c>
      <c r="H67" s="116">
        <f>H43+H44+H45+H46+H47+H48</f>
        <v>301338.80660255032</v>
      </c>
      <c r="I67" s="116">
        <f t="shared" ref="I67:P67" si="15">I43+I44+I45+I46+I47+I48</f>
        <v>633940.97792557336</v>
      </c>
      <c r="J67" s="116">
        <f t="shared" si="15"/>
        <v>634898.34583288385</v>
      </c>
      <c r="K67" s="116">
        <f t="shared" si="15"/>
        <v>833179.71404765185</v>
      </c>
      <c r="L67" s="116">
        <f t="shared" si="15"/>
        <v>1192505.8274163271</v>
      </c>
      <c r="M67" s="116">
        <f t="shared" si="15"/>
        <v>1197225.9292419618</v>
      </c>
      <c r="N67" s="116">
        <f t="shared" si="15"/>
        <v>2701658.0529120006</v>
      </c>
      <c r="O67" s="116">
        <f t="shared" si="15"/>
        <v>9746782.4126400016</v>
      </c>
      <c r="P67" s="116">
        <f t="shared" si="15"/>
        <v>9748249.8968400005</v>
      </c>
      <c r="Q67" s="226">
        <f>SUM(H67:P67)</f>
        <v>26989779.963458948</v>
      </c>
      <c r="R67" s="116">
        <f t="shared" si="4"/>
        <v>1570178.1303610075</v>
      </c>
      <c r="S67" s="116">
        <f t="shared" si="5"/>
        <v>25419601.833097942</v>
      </c>
      <c r="T67" s="228">
        <v>25419602</v>
      </c>
      <c r="U67" s="116">
        <f t="shared" si="6"/>
        <v>-0.16690205782651901</v>
      </c>
    </row>
    <row r="68" spans="7:21" x14ac:dyDescent="0.25">
      <c r="G68" t="s">
        <v>477</v>
      </c>
      <c r="H68" s="116">
        <f>H50+H51</f>
        <v>425000</v>
      </c>
      <c r="I68" s="116">
        <f t="shared" ref="I68:P68" si="16">I50+I51</f>
        <v>850000</v>
      </c>
      <c r="J68" s="116">
        <f t="shared" si="16"/>
        <v>850000</v>
      </c>
      <c r="K68" s="116">
        <f t="shared" si="16"/>
        <v>0</v>
      </c>
      <c r="L68" s="116">
        <f t="shared" si="16"/>
        <v>0</v>
      </c>
      <c r="M68" s="116">
        <f t="shared" si="16"/>
        <v>0</v>
      </c>
      <c r="N68" s="116">
        <f t="shared" si="16"/>
        <v>0</v>
      </c>
      <c r="O68" s="116">
        <f t="shared" si="16"/>
        <v>0</v>
      </c>
      <c r="P68" s="116">
        <f t="shared" si="16"/>
        <v>0</v>
      </c>
      <c r="Q68" s="226">
        <f>SUM(H68:P68)</f>
        <v>2125000</v>
      </c>
      <c r="R68" s="116">
        <f t="shared" si="4"/>
        <v>2125000</v>
      </c>
      <c r="S68" s="116">
        <f t="shared" si="5"/>
        <v>0</v>
      </c>
      <c r="T68" s="228"/>
      <c r="U68" s="116">
        <f t="shared" si="6"/>
        <v>0</v>
      </c>
    </row>
    <row r="69" spans="7:21" x14ac:dyDescent="0.25">
      <c r="H69" s="116">
        <f>SUM(H56:H68)</f>
        <v>6403420.3717564661</v>
      </c>
      <c r="I69" s="116">
        <f t="shared" ref="I69:U69" si="17">SUM(I56:I68)</f>
        <v>13246990.226640359</v>
      </c>
      <c r="J69" s="116">
        <f t="shared" si="17"/>
        <v>13442000.559215125</v>
      </c>
      <c r="K69" s="116">
        <f t="shared" si="17"/>
        <v>30974477.557562634</v>
      </c>
      <c r="L69" s="116">
        <f t="shared" si="17"/>
        <v>58166276.005307861</v>
      </c>
      <c r="M69" s="116">
        <f t="shared" si="17"/>
        <v>59031340.396147877</v>
      </c>
      <c r="N69" s="116">
        <f t="shared" si="17"/>
        <v>77087408.490903288</v>
      </c>
      <c r="O69" s="116">
        <f t="shared" si="17"/>
        <v>168028595.95653766</v>
      </c>
      <c r="P69" s="116">
        <f t="shared" si="17"/>
        <v>170872633.24339828</v>
      </c>
      <c r="Q69" s="116">
        <f t="shared" si="17"/>
        <v>597253142.80746961</v>
      </c>
      <c r="R69" s="229">
        <f t="shared" si="17"/>
        <v>33092411.157611951</v>
      </c>
      <c r="S69" s="229">
        <f t="shared" si="17"/>
        <v>564160731.64985764</v>
      </c>
      <c r="T69" s="229">
        <f t="shared" si="17"/>
        <v>607160731</v>
      </c>
      <c r="U69" s="229">
        <f t="shared" si="17"/>
        <v>-42999999.350142352</v>
      </c>
    </row>
    <row r="70" spans="7:21" x14ac:dyDescent="0.25">
      <c r="H70" s="116">
        <f>H55-H69</f>
        <v>0</v>
      </c>
      <c r="I70" s="116">
        <f t="shared" ref="I70:P70" si="18">I55-I69</f>
        <v>0</v>
      </c>
      <c r="J70" s="116">
        <f t="shared" si="18"/>
        <v>0</v>
      </c>
      <c r="K70" s="116">
        <f t="shared" si="18"/>
        <v>0</v>
      </c>
      <c r="L70" s="116">
        <f t="shared" si="18"/>
        <v>0</v>
      </c>
      <c r="M70" s="116">
        <f t="shared" si="18"/>
        <v>0</v>
      </c>
      <c r="N70" s="116">
        <f t="shared" si="18"/>
        <v>0</v>
      </c>
      <c r="O70" s="116">
        <f t="shared" si="18"/>
        <v>0</v>
      </c>
      <c r="P70" s="116">
        <f t="shared" si="18"/>
        <v>0</v>
      </c>
      <c r="Q70" s="116">
        <f>Q55-Q69</f>
        <v>0</v>
      </c>
      <c r="U70" t="s">
        <v>478</v>
      </c>
    </row>
    <row r="71" spans="7:21" x14ac:dyDescent="0.25">
      <c r="Q71">
        <v>44000000</v>
      </c>
      <c r="U71" t="s">
        <v>479</v>
      </c>
    </row>
    <row r="72" spans="7:21" x14ac:dyDescent="0.25">
      <c r="Q72" s="116">
        <f>Q69+Q71</f>
        <v>641253142.80746961</v>
      </c>
    </row>
  </sheetData>
  <mergeCells count="16">
    <mergeCell ref="H6:J6"/>
    <mergeCell ref="K6:M6"/>
    <mergeCell ref="N6:P6"/>
    <mergeCell ref="Q6:S6"/>
    <mergeCell ref="H4:J4"/>
    <mergeCell ref="K4:M4"/>
    <mergeCell ref="N4:P4"/>
    <mergeCell ref="H5:J5"/>
    <mergeCell ref="K5:M5"/>
    <mergeCell ref="N5:P5"/>
    <mergeCell ref="H1:J1"/>
    <mergeCell ref="K1:M1"/>
    <mergeCell ref="H2:J2"/>
    <mergeCell ref="K2:M2"/>
    <mergeCell ref="H3:J3"/>
    <mergeCell ref="K3:M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21722-4E5A-40D2-96AF-C5792603A749}">
  <sheetPr>
    <tabColor rgb="FF00FF00"/>
  </sheetPr>
  <dimension ref="B1:FG54"/>
  <sheetViews>
    <sheetView workbookViewId="0">
      <pane xSplit="7" ySplit="8" topLeftCell="H9" activePane="bottomRight" state="frozen"/>
      <selection activeCell="AO37" sqref="AO37"/>
      <selection pane="topRight" activeCell="AO37" sqref="AO37"/>
      <selection pane="bottomLeft" activeCell="AO37" sqref="AO37"/>
      <selection pane="bottomRight" activeCell="H54" sqref="H54"/>
    </sheetView>
  </sheetViews>
  <sheetFormatPr defaultRowHeight="15" outlineLevelCol="1" x14ac:dyDescent="0.25"/>
  <cols>
    <col min="1" max="1" width="2.28515625" customWidth="1"/>
    <col min="2" max="2" width="16.28515625" hidden="1" customWidth="1" outlineLevel="1"/>
    <col min="3" max="3" width="13.42578125" hidden="1" customWidth="1" outlineLevel="1"/>
    <col min="4" max="4" width="15.42578125" hidden="1" customWidth="1" outlineLevel="1"/>
    <col min="5" max="5" width="6.42578125" hidden="1" customWidth="1" outlineLevel="1"/>
    <col min="6" max="6" width="28.7109375" hidden="1" customWidth="1" outlineLevel="1"/>
    <col min="7" max="7" width="25.140625" bestFit="1" customWidth="1" collapsed="1"/>
    <col min="8" max="104" width="15.5703125" customWidth="1"/>
    <col min="105" max="106" width="11.140625" bestFit="1" customWidth="1"/>
    <col min="107" max="146" width="10.140625" bestFit="1" customWidth="1"/>
    <col min="147" max="158" width="8.5703125" bestFit="1" customWidth="1"/>
    <col min="159" max="161" width="7.5703125" bestFit="1" customWidth="1"/>
    <col min="162" max="162" width="6.5703125" bestFit="1" customWidth="1"/>
    <col min="163" max="163" width="6.28515625" bestFit="1" customWidth="1"/>
  </cols>
  <sheetData>
    <row r="1" spans="2:163" x14ac:dyDescent="0.25">
      <c r="H1" s="560"/>
      <c r="I1" s="560"/>
      <c r="J1" s="560"/>
      <c r="K1" s="561"/>
      <c r="L1" s="561"/>
      <c r="M1" s="561"/>
      <c r="N1" s="232"/>
      <c r="O1" s="232"/>
      <c r="P1" s="232"/>
    </row>
    <row r="2" spans="2:163" x14ac:dyDescent="0.25">
      <c r="B2" s="254" t="s">
        <v>481</v>
      </c>
      <c r="C2" s="254"/>
      <c r="D2" s="254"/>
      <c r="E2" s="254"/>
      <c r="F2" s="254"/>
      <c r="G2" s="254"/>
      <c r="H2" s="560"/>
      <c r="I2" s="560"/>
      <c r="J2" s="560"/>
      <c r="K2" s="561"/>
      <c r="L2" s="561"/>
      <c r="M2" s="561"/>
      <c r="N2" s="232"/>
      <c r="O2" s="232"/>
      <c r="P2" s="232"/>
    </row>
    <row r="3" spans="2:163" x14ac:dyDescent="0.25">
      <c r="H3" s="560"/>
      <c r="I3" s="560"/>
      <c r="J3" s="560"/>
      <c r="K3" s="561"/>
      <c r="L3" s="561"/>
      <c r="M3" s="561"/>
      <c r="N3" s="232"/>
      <c r="O3" s="232"/>
      <c r="P3" s="232"/>
    </row>
    <row r="4" spans="2:163" x14ac:dyDescent="0.25">
      <c r="H4" s="560"/>
      <c r="I4" s="560"/>
      <c r="J4" s="560"/>
      <c r="K4" s="561"/>
      <c r="L4" s="561"/>
      <c r="M4" s="561"/>
      <c r="N4" s="232"/>
      <c r="O4" s="232"/>
      <c r="P4" s="232"/>
    </row>
    <row r="5" spans="2:163" x14ac:dyDescent="0.25">
      <c r="H5" s="560"/>
      <c r="I5" s="560"/>
      <c r="J5" s="560"/>
      <c r="K5" s="561"/>
      <c r="L5" s="561"/>
      <c r="M5" s="561"/>
      <c r="N5" s="559"/>
      <c r="O5" s="559"/>
      <c r="P5" s="559"/>
    </row>
    <row r="6" spans="2:163" x14ac:dyDescent="0.25">
      <c r="H6" s="560"/>
      <c r="I6" s="560"/>
      <c r="J6" s="560"/>
      <c r="K6" s="560"/>
      <c r="L6" s="560"/>
      <c r="M6" s="560"/>
      <c r="N6" s="1"/>
      <c r="O6" s="1"/>
      <c r="P6" s="1"/>
    </row>
    <row r="7" spans="2:163" ht="15.75" thickBot="1" x14ac:dyDescent="0.3"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</row>
    <row r="8" spans="2:163" ht="26.25" thickBot="1" x14ac:dyDescent="0.3">
      <c r="B8" s="235" t="s">
        <v>392</v>
      </c>
      <c r="C8" s="218" t="s">
        <v>393</v>
      </c>
      <c r="D8" s="219" t="s">
        <v>394</v>
      </c>
      <c r="E8" s="220" t="s">
        <v>395</v>
      </c>
      <c r="F8" s="220" t="s">
        <v>357</v>
      </c>
      <c r="G8" s="221" t="s">
        <v>396</v>
      </c>
      <c r="H8" s="236" t="s">
        <v>482</v>
      </c>
      <c r="I8" s="236" t="s">
        <v>483</v>
      </c>
      <c r="J8" s="236" t="s">
        <v>484</v>
      </c>
      <c r="K8" s="236" t="s">
        <v>485</v>
      </c>
      <c r="L8" s="236" t="s">
        <v>486</v>
      </c>
      <c r="M8" s="236" t="s">
        <v>487</v>
      </c>
      <c r="N8" s="236" t="s">
        <v>488</v>
      </c>
      <c r="O8" s="236" t="s">
        <v>489</v>
      </c>
      <c r="P8" s="236" t="s">
        <v>490</v>
      </c>
      <c r="Q8" s="236" t="s">
        <v>491</v>
      </c>
      <c r="R8" s="236" t="s">
        <v>492</v>
      </c>
      <c r="S8" s="236" t="s">
        <v>493</v>
      </c>
      <c r="T8" s="237" t="s">
        <v>494</v>
      </c>
      <c r="U8" s="238" t="s">
        <v>495</v>
      </c>
      <c r="V8" s="236" t="s">
        <v>496</v>
      </c>
      <c r="W8" s="236" t="s">
        <v>497</v>
      </c>
      <c r="X8" s="236" t="s">
        <v>498</v>
      </c>
      <c r="Y8" s="236" t="s">
        <v>499</v>
      </c>
      <c r="Z8" s="236" t="s">
        <v>500</v>
      </c>
      <c r="AA8" s="236" t="s">
        <v>501</v>
      </c>
      <c r="AB8" s="236" t="s">
        <v>502</v>
      </c>
      <c r="AC8" s="236" t="s">
        <v>503</v>
      </c>
      <c r="AD8" s="236" t="s">
        <v>504</v>
      </c>
      <c r="AE8" s="236" t="s">
        <v>505</v>
      </c>
      <c r="AF8" s="236" t="s">
        <v>506</v>
      </c>
      <c r="AG8" s="236" t="s">
        <v>507</v>
      </c>
      <c r="AH8" s="236" t="s">
        <v>508</v>
      </c>
      <c r="AI8" s="236" t="s">
        <v>509</v>
      </c>
      <c r="AJ8" s="236" t="s">
        <v>510</v>
      </c>
      <c r="AK8" s="236" t="s">
        <v>511</v>
      </c>
      <c r="AL8" s="236" t="s">
        <v>512</v>
      </c>
      <c r="AM8" s="236" t="s">
        <v>513</v>
      </c>
      <c r="AN8" s="236" t="s">
        <v>514</v>
      </c>
      <c r="AO8" s="236" t="s">
        <v>515</v>
      </c>
      <c r="AP8" s="236" t="s">
        <v>516</v>
      </c>
      <c r="AQ8" s="236" t="s">
        <v>517</v>
      </c>
      <c r="AR8" s="236" t="s">
        <v>518</v>
      </c>
      <c r="AS8" s="236" t="s">
        <v>519</v>
      </c>
      <c r="AT8" s="236" t="s">
        <v>520</v>
      </c>
      <c r="AU8" s="236" t="s">
        <v>521</v>
      </c>
      <c r="AV8" s="236" t="s">
        <v>522</v>
      </c>
      <c r="AW8" s="236" t="s">
        <v>523</v>
      </c>
      <c r="AX8" s="236" t="s">
        <v>524</v>
      </c>
      <c r="AY8" s="236" t="s">
        <v>525</v>
      </c>
      <c r="AZ8" s="236" t="s">
        <v>526</v>
      </c>
      <c r="BA8" s="236" t="s">
        <v>527</v>
      </c>
      <c r="BB8" s="236" t="s">
        <v>528</v>
      </c>
      <c r="BC8" s="236" t="s">
        <v>529</v>
      </c>
      <c r="BD8" s="236" t="s">
        <v>530</v>
      </c>
      <c r="BE8" s="236" t="s">
        <v>531</v>
      </c>
      <c r="BF8" s="236" t="s">
        <v>532</v>
      </c>
      <c r="BG8" s="236" t="s">
        <v>533</v>
      </c>
      <c r="BH8" s="236" t="s">
        <v>534</v>
      </c>
      <c r="BI8" s="236" t="s">
        <v>535</v>
      </c>
      <c r="BJ8" s="236" t="s">
        <v>536</v>
      </c>
      <c r="BK8" s="236" t="s">
        <v>537</v>
      </c>
      <c r="BL8" s="236" t="s">
        <v>538</v>
      </c>
      <c r="BM8" s="236" t="s">
        <v>539</v>
      </c>
      <c r="BN8" s="236" t="s">
        <v>540</v>
      </c>
      <c r="BO8" s="236" t="s">
        <v>541</v>
      </c>
      <c r="BP8" s="236" t="s">
        <v>542</v>
      </c>
      <c r="BQ8" s="236" t="s">
        <v>543</v>
      </c>
      <c r="BR8" s="236" t="s">
        <v>544</v>
      </c>
      <c r="BS8" s="236" t="s">
        <v>545</v>
      </c>
      <c r="BT8" s="236" t="s">
        <v>546</v>
      </c>
      <c r="BU8" s="236" t="s">
        <v>547</v>
      </c>
      <c r="BV8" s="236" t="s">
        <v>548</v>
      </c>
      <c r="BW8" s="236" t="s">
        <v>549</v>
      </c>
      <c r="BX8" s="236" t="s">
        <v>550</v>
      </c>
      <c r="BY8" s="236" t="s">
        <v>551</v>
      </c>
      <c r="BZ8" s="236" t="s">
        <v>552</v>
      </c>
      <c r="CA8" s="236" t="s">
        <v>553</v>
      </c>
      <c r="CB8" s="236" t="s">
        <v>554</v>
      </c>
      <c r="CC8" s="236" t="s">
        <v>555</v>
      </c>
      <c r="CD8" s="236" t="s">
        <v>556</v>
      </c>
      <c r="CE8" s="236" t="s">
        <v>557</v>
      </c>
      <c r="CF8" s="236" t="s">
        <v>558</v>
      </c>
      <c r="CG8" s="236" t="s">
        <v>559</v>
      </c>
      <c r="CH8" s="236" t="s">
        <v>560</v>
      </c>
      <c r="CI8" s="236" t="s">
        <v>561</v>
      </c>
      <c r="CJ8" s="236" t="s">
        <v>562</v>
      </c>
      <c r="CK8" s="236" t="s">
        <v>563</v>
      </c>
      <c r="CL8" s="236" t="s">
        <v>564</v>
      </c>
      <c r="CM8" s="236" t="s">
        <v>565</v>
      </c>
      <c r="CN8" s="236" t="s">
        <v>566</v>
      </c>
      <c r="CO8" s="236" t="s">
        <v>567</v>
      </c>
      <c r="CP8" s="236" t="s">
        <v>568</v>
      </c>
      <c r="CQ8" s="236" t="s">
        <v>569</v>
      </c>
      <c r="CR8" s="236" t="s">
        <v>570</v>
      </c>
      <c r="CS8" s="236" t="s">
        <v>571</v>
      </c>
      <c r="CT8" s="236" t="s">
        <v>572</v>
      </c>
      <c r="CU8" s="236" t="s">
        <v>573</v>
      </c>
      <c r="CV8" s="236" t="s">
        <v>574</v>
      </c>
      <c r="CW8" s="236" t="s">
        <v>575</v>
      </c>
      <c r="CX8" s="236" t="s">
        <v>576</v>
      </c>
      <c r="CY8" s="236" t="s">
        <v>577</v>
      </c>
      <c r="CZ8" s="237" t="s">
        <v>578</v>
      </c>
      <c r="DA8" s="236" t="s">
        <v>579</v>
      </c>
      <c r="DB8" s="237" t="s">
        <v>580</v>
      </c>
      <c r="DC8" s="236" t="s">
        <v>581</v>
      </c>
      <c r="DD8" s="237" t="s">
        <v>582</v>
      </c>
      <c r="DE8" s="236" t="s">
        <v>583</v>
      </c>
      <c r="DF8" s="237" t="s">
        <v>584</v>
      </c>
      <c r="DG8" s="236" t="s">
        <v>585</v>
      </c>
      <c r="DH8" s="237" t="s">
        <v>586</v>
      </c>
      <c r="DI8" s="236" t="s">
        <v>587</v>
      </c>
      <c r="DJ8" s="237" t="s">
        <v>588</v>
      </c>
      <c r="DK8" s="236" t="s">
        <v>589</v>
      </c>
      <c r="DL8" s="237" t="s">
        <v>590</v>
      </c>
      <c r="DM8" s="236" t="s">
        <v>591</v>
      </c>
      <c r="DN8" s="237" t="s">
        <v>592</v>
      </c>
      <c r="DO8" s="236" t="s">
        <v>593</v>
      </c>
      <c r="DP8" s="237" t="s">
        <v>594</v>
      </c>
      <c r="DQ8" s="236" t="s">
        <v>595</v>
      </c>
      <c r="DR8" s="237" t="s">
        <v>596</v>
      </c>
      <c r="DS8" s="236" t="s">
        <v>597</v>
      </c>
      <c r="DT8" s="237" t="s">
        <v>598</v>
      </c>
      <c r="DU8" s="236" t="s">
        <v>599</v>
      </c>
      <c r="DV8" s="237" t="s">
        <v>600</v>
      </c>
      <c r="DW8" s="236" t="s">
        <v>601</v>
      </c>
      <c r="DX8" s="237" t="s">
        <v>602</v>
      </c>
      <c r="DY8" s="236" t="s">
        <v>603</v>
      </c>
      <c r="DZ8" s="237" t="s">
        <v>604</v>
      </c>
      <c r="EA8" s="236" t="s">
        <v>605</v>
      </c>
      <c r="EB8" s="237" t="s">
        <v>606</v>
      </c>
      <c r="EC8" s="236" t="s">
        <v>607</v>
      </c>
      <c r="ED8" s="237" t="s">
        <v>608</v>
      </c>
      <c r="EE8" s="236" t="s">
        <v>609</v>
      </c>
      <c r="EF8" s="237" t="s">
        <v>610</v>
      </c>
      <c r="EG8" s="236" t="s">
        <v>611</v>
      </c>
      <c r="EH8" s="237" t="s">
        <v>612</v>
      </c>
      <c r="EI8" s="236" t="s">
        <v>613</v>
      </c>
      <c r="EJ8" s="237" t="s">
        <v>614</v>
      </c>
      <c r="EK8" s="236" t="s">
        <v>615</v>
      </c>
      <c r="EL8" s="237" t="s">
        <v>616</v>
      </c>
      <c r="EM8" s="236" t="s">
        <v>617</v>
      </c>
      <c r="EN8" s="237" t="s">
        <v>618</v>
      </c>
      <c r="EO8" s="236" t="s">
        <v>619</v>
      </c>
      <c r="EP8" s="237" t="s">
        <v>620</v>
      </c>
      <c r="EQ8" s="236" t="s">
        <v>621</v>
      </c>
      <c r="ER8" s="237" t="s">
        <v>622</v>
      </c>
      <c r="ES8" s="236" t="s">
        <v>623</v>
      </c>
      <c r="ET8" s="237" t="s">
        <v>624</v>
      </c>
      <c r="EU8" s="236" t="s">
        <v>625</v>
      </c>
      <c r="EV8" s="237" t="s">
        <v>626</v>
      </c>
      <c r="EW8" s="236" t="s">
        <v>627</v>
      </c>
      <c r="EX8" s="237" t="s">
        <v>628</v>
      </c>
      <c r="EY8" s="236" t="s">
        <v>629</v>
      </c>
      <c r="EZ8" s="237" t="s">
        <v>630</v>
      </c>
      <c r="FA8" s="236" t="s">
        <v>631</v>
      </c>
      <c r="FB8" s="237" t="s">
        <v>632</v>
      </c>
      <c r="FC8" s="236" t="s">
        <v>633</v>
      </c>
      <c r="FD8" s="237" t="s">
        <v>634</v>
      </c>
      <c r="FE8" s="236" t="s">
        <v>635</v>
      </c>
      <c r="FF8" s="237" t="s">
        <v>636</v>
      </c>
      <c r="FG8" s="236" t="s">
        <v>637</v>
      </c>
    </row>
    <row r="9" spans="2:163" x14ac:dyDescent="0.25">
      <c r="B9" s="223" t="s">
        <v>400</v>
      </c>
      <c r="C9" s="223" t="s">
        <v>401</v>
      </c>
      <c r="D9" s="223" t="s">
        <v>402</v>
      </c>
      <c r="E9" s="223">
        <v>0</v>
      </c>
      <c r="F9" s="223" t="s">
        <v>403</v>
      </c>
      <c r="G9" s="223" t="s">
        <v>404</v>
      </c>
      <c r="H9" s="239">
        <v>0</v>
      </c>
      <c r="I9" s="239">
        <v>0</v>
      </c>
      <c r="J9" s="239">
        <v>0</v>
      </c>
      <c r="K9" s="239">
        <v>0</v>
      </c>
      <c r="L9" s="239">
        <v>0</v>
      </c>
      <c r="M9" s="239">
        <v>0</v>
      </c>
      <c r="N9" s="239">
        <v>0</v>
      </c>
      <c r="O9" s="239">
        <v>0</v>
      </c>
      <c r="P9" s="239">
        <v>0</v>
      </c>
      <c r="Q9" s="239">
        <v>0</v>
      </c>
      <c r="R9" s="239">
        <v>0</v>
      </c>
      <c r="S9" s="239">
        <v>0</v>
      </c>
      <c r="T9" s="239">
        <v>0</v>
      </c>
      <c r="U9" s="239">
        <v>0</v>
      </c>
      <c r="V9" s="239">
        <v>0</v>
      </c>
      <c r="W9" s="239">
        <v>0</v>
      </c>
      <c r="X9" s="239">
        <v>0</v>
      </c>
      <c r="Y9" s="239">
        <v>0</v>
      </c>
      <c r="Z9" s="239">
        <v>0</v>
      </c>
      <c r="AA9" s="239">
        <v>0</v>
      </c>
      <c r="AB9" s="239">
        <v>0</v>
      </c>
      <c r="AC9" s="239">
        <v>0</v>
      </c>
      <c r="AD9" s="239">
        <v>0</v>
      </c>
      <c r="AE9" s="239">
        <v>0</v>
      </c>
      <c r="AF9" s="239">
        <v>0</v>
      </c>
      <c r="AG9" s="239">
        <v>0</v>
      </c>
      <c r="AH9" s="239">
        <v>0</v>
      </c>
      <c r="AI9" s="239">
        <v>0</v>
      </c>
      <c r="AJ9" s="239">
        <v>0</v>
      </c>
      <c r="AK9" s="239">
        <v>0</v>
      </c>
      <c r="AL9" s="239">
        <v>0</v>
      </c>
      <c r="AM9" s="239">
        <v>0</v>
      </c>
      <c r="AN9" s="239">
        <v>0</v>
      </c>
      <c r="AO9" s="239">
        <v>0</v>
      </c>
      <c r="AP9" s="239">
        <v>0</v>
      </c>
      <c r="AQ9" s="239">
        <v>0</v>
      </c>
      <c r="AR9" s="239">
        <v>0</v>
      </c>
      <c r="AS9" s="239">
        <v>0</v>
      </c>
      <c r="AT9" s="239">
        <v>0</v>
      </c>
      <c r="AU9" s="239">
        <v>0</v>
      </c>
      <c r="AV9" s="239">
        <v>0</v>
      </c>
      <c r="AW9" s="239">
        <v>0</v>
      </c>
      <c r="AX9" s="239">
        <v>0</v>
      </c>
      <c r="AY9" s="239">
        <v>0</v>
      </c>
      <c r="AZ9" s="239">
        <v>0</v>
      </c>
      <c r="BA9" s="239">
        <v>0</v>
      </c>
      <c r="BB9" s="239">
        <v>0</v>
      </c>
      <c r="BC9" s="239">
        <v>0</v>
      </c>
      <c r="BD9" s="239">
        <v>0</v>
      </c>
      <c r="BE9" s="239">
        <v>0</v>
      </c>
      <c r="BF9" s="239">
        <v>0</v>
      </c>
      <c r="BG9" s="239">
        <v>0</v>
      </c>
      <c r="BH9" s="239">
        <v>0</v>
      </c>
      <c r="BI9" s="239">
        <v>0</v>
      </c>
      <c r="BJ9" s="239">
        <v>0</v>
      </c>
      <c r="BK9" s="239">
        <v>0</v>
      </c>
      <c r="BL9" s="239">
        <v>0</v>
      </c>
      <c r="BM9" s="239">
        <v>0</v>
      </c>
      <c r="BN9" s="239">
        <v>0</v>
      </c>
      <c r="BO9" s="239">
        <v>0</v>
      </c>
      <c r="BP9" s="239">
        <v>0</v>
      </c>
      <c r="BQ9" s="239">
        <v>0</v>
      </c>
      <c r="BR9" s="239">
        <v>0</v>
      </c>
      <c r="BS9" s="239">
        <v>0</v>
      </c>
      <c r="BT9" s="239">
        <v>0</v>
      </c>
      <c r="BU9" s="239">
        <v>0</v>
      </c>
      <c r="BV9" s="239">
        <v>0</v>
      </c>
      <c r="BW9" s="239">
        <v>0</v>
      </c>
      <c r="BX9" s="239">
        <v>0</v>
      </c>
      <c r="BY9" s="239">
        <v>0</v>
      </c>
      <c r="BZ9" s="239">
        <v>0</v>
      </c>
      <c r="CA9" s="239">
        <v>0</v>
      </c>
      <c r="CB9" s="239">
        <v>0</v>
      </c>
      <c r="CC9" s="239">
        <v>0</v>
      </c>
      <c r="CD9" s="239">
        <v>0</v>
      </c>
      <c r="CE9" s="239">
        <v>0</v>
      </c>
      <c r="CF9" s="239">
        <v>0</v>
      </c>
      <c r="CG9" s="239">
        <v>0</v>
      </c>
      <c r="CH9" s="239">
        <v>0</v>
      </c>
      <c r="CI9" s="239">
        <v>0</v>
      </c>
      <c r="CJ9" s="239">
        <v>0</v>
      </c>
      <c r="CK9" s="239">
        <v>0</v>
      </c>
      <c r="CL9" s="239">
        <v>0</v>
      </c>
      <c r="CM9" s="239">
        <v>0</v>
      </c>
      <c r="CN9" s="239">
        <v>0</v>
      </c>
      <c r="CO9" s="239">
        <v>0</v>
      </c>
      <c r="CP9" s="239">
        <v>0</v>
      </c>
      <c r="CQ9" s="239">
        <v>0</v>
      </c>
      <c r="CR9" s="239">
        <v>0</v>
      </c>
      <c r="CS9" s="239">
        <v>0</v>
      </c>
      <c r="CT9" s="239">
        <v>0</v>
      </c>
      <c r="CU9" s="239">
        <v>0</v>
      </c>
      <c r="CV9" s="239">
        <v>0</v>
      </c>
      <c r="CW9" s="239">
        <v>0</v>
      </c>
      <c r="CX9" s="239">
        <v>0</v>
      </c>
      <c r="CY9" s="239">
        <v>0</v>
      </c>
      <c r="CZ9" s="239">
        <v>0</v>
      </c>
      <c r="DA9" s="239">
        <v>0</v>
      </c>
      <c r="DB9" s="239">
        <v>0</v>
      </c>
      <c r="DC9" s="239">
        <v>0</v>
      </c>
      <c r="DD9" s="239">
        <v>0</v>
      </c>
      <c r="DE9" s="239">
        <v>0</v>
      </c>
      <c r="DF9" s="239">
        <v>0</v>
      </c>
      <c r="DG9" s="239">
        <v>0</v>
      </c>
      <c r="DH9" s="239">
        <v>0</v>
      </c>
      <c r="DI9" s="239">
        <v>0</v>
      </c>
      <c r="DJ9" s="239">
        <v>0</v>
      </c>
      <c r="DK9" s="239">
        <v>0</v>
      </c>
      <c r="DL9" s="239">
        <v>0</v>
      </c>
      <c r="DM9" s="239">
        <v>0</v>
      </c>
      <c r="DN9" s="239">
        <v>0</v>
      </c>
      <c r="DO9" s="239">
        <v>0</v>
      </c>
      <c r="DP9" s="239">
        <v>0</v>
      </c>
      <c r="DQ9" s="239">
        <v>0</v>
      </c>
      <c r="DR9" s="239">
        <v>0</v>
      </c>
      <c r="DS9" s="239">
        <v>0</v>
      </c>
      <c r="DT9" s="239">
        <v>0</v>
      </c>
      <c r="DU9" s="239">
        <v>0</v>
      </c>
      <c r="DV9" s="239">
        <v>0</v>
      </c>
      <c r="DW9" s="239">
        <v>0</v>
      </c>
      <c r="DX9" s="239">
        <v>0</v>
      </c>
      <c r="DY9" s="239">
        <v>0</v>
      </c>
      <c r="DZ9" s="239">
        <v>0</v>
      </c>
      <c r="EA9" s="239">
        <v>0</v>
      </c>
      <c r="EB9" s="239">
        <v>0</v>
      </c>
      <c r="EC9" s="239">
        <v>0</v>
      </c>
      <c r="ED9" s="239">
        <v>0</v>
      </c>
      <c r="EE9" s="239">
        <v>0</v>
      </c>
      <c r="EF9" s="239">
        <v>0</v>
      </c>
      <c r="EG9" s="239">
        <v>0</v>
      </c>
      <c r="EH9" s="239">
        <v>0</v>
      </c>
      <c r="EI9" s="239">
        <v>0</v>
      </c>
      <c r="EJ9" s="239">
        <v>0</v>
      </c>
      <c r="EK9" s="239">
        <v>0</v>
      </c>
      <c r="EL9" s="239">
        <v>0</v>
      </c>
      <c r="EM9" s="239">
        <v>0</v>
      </c>
      <c r="EN9" s="239">
        <v>0</v>
      </c>
      <c r="EO9" s="239">
        <v>0</v>
      </c>
      <c r="EP9" s="239">
        <v>0</v>
      </c>
      <c r="EQ9" s="239">
        <v>0</v>
      </c>
      <c r="ER9" s="239">
        <v>0</v>
      </c>
      <c r="ES9" s="239">
        <v>0</v>
      </c>
      <c r="ET9" s="239">
        <v>0</v>
      </c>
      <c r="EU9" s="239">
        <v>0</v>
      </c>
      <c r="EV9" s="239">
        <v>0</v>
      </c>
      <c r="EW9" s="239">
        <v>0</v>
      </c>
      <c r="EX9" s="239">
        <v>0</v>
      </c>
      <c r="EY9" s="239">
        <v>0</v>
      </c>
      <c r="EZ9" s="239">
        <v>0</v>
      </c>
      <c r="FA9" s="239">
        <v>0</v>
      </c>
      <c r="FB9" s="239">
        <v>0</v>
      </c>
      <c r="FC9" s="239">
        <v>0</v>
      </c>
      <c r="FD9" s="239">
        <v>0</v>
      </c>
      <c r="FE9" s="239">
        <v>0</v>
      </c>
      <c r="FF9" s="239">
        <v>0</v>
      </c>
      <c r="FG9" s="239">
        <v>0</v>
      </c>
    </row>
    <row r="10" spans="2:163" x14ac:dyDescent="0.25">
      <c r="B10" s="223" t="s">
        <v>400</v>
      </c>
      <c r="C10" s="223" t="s">
        <v>401</v>
      </c>
      <c r="D10" s="223" t="s">
        <v>402</v>
      </c>
      <c r="E10" s="223">
        <v>0</v>
      </c>
      <c r="F10" s="223" t="s">
        <v>403</v>
      </c>
      <c r="G10" s="223" t="s">
        <v>405</v>
      </c>
      <c r="H10" s="239">
        <v>255008.94583333339</v>
      </c>
      <c r="I10" s="239">
        <v>505767.74256944458</v>
      </c>
      <c r="J10" s="239">
        <v>752276.39020833361</v>
      </c>
      <c r="K10" s="239">
        <v>994534.88875000039</v>
      </c>
      <c r="L10" s="239">
        <v>1232543.2381944449</v>
      </c>
      <c r="M10" s="239">
        <v>1466301.4385416671</v>
      </c>
      <c r="N10" s="239">
        <v>1695809.4897916671</v>
      </c>
      <c r="O10" s="239">
        <v>1921067.3919444447</v>
      </c>
      <c r="P10" s="239">
        <v>2142075.1450000005</v>
      </c>
      <c r="Q10" s="239">
        <v>2358832.7489583339</v>
      </c>
      <c r="R10" s="239">
        <v>2571340.2038194449</v>
      </c>
      <c r="S10" s="239">
        <v>2779597.5095833335</v>
      </c>
      <c r="T10" s="239">
        <v>3202943.9495833335</v>
      </c>
      <c r="U10" s="239">
        <v>3618384.5857638889</v>
      </c>
      <c r="V10" s="239">
        <v>4025919.4181249999</v>
      </c>
      <c r="W10" s="239">
        <v>4425548.4466666672</v>
      </c>
      <c r="X10" s="239">
        <v>4817271.6713888897</v>
      </c>
      <c r="Y10" s="239">
        <v>5201089.0922916681</v>
      </c>
      <c r="Z10" s="239">
        <v>5577000.7093750015</v>
      </c>
      <c r="AA10" s="239">
        <v>5945006.5226388909</v>
      </c>
      <c r="AB10" s="239">
        <v>6305106.5320833353</v>
      </c>
      <c r="AC10" s="239">
        <v>6657300.7377083357</v>
      </c>
      <c r="AD10" s="239">
        <v>7001589.1395138912</v>
      </c>
      <c r="AE10" s="239">
        <v>7337971.7375000026</v>
      </c>
      <c r="AF10" s="239">
        <v>7672751.6733333366</v>
      </c>
      <c r="AG10" s="239">
        <v>7999520.7529861145</v>
      </c>
      <c r="AH10" s="239">
        <v>8318278.9764583372</v>
      </c>
      <c r="AI10" s="239">
        <v>8629026.3437500037</v>
      </c>
      <c r="AJ10" s="239">
        <v>8931762.8548611142</v>
      </c>
      <c r="AK10" s="239">
        <v>9226488.5097916704</v>
      </c>
      <c r="AL10" s="239">
        <v>9513203.3085416704</v>
      </c>
      <c r="AM10" s="239">
        <v>9791907.2511111144</v>
      </c>
      <c r="AN10" s="239">
        <v>10062600.337500004</v>
      </c>
      <c r="AO10" s="239">
        <v>10325282.567708338</v>
      </c>
      <c r="AP10" s="239">
        <v>10579953.941736115</v>
      </c>
      <c r="AQ10" s="239">
        <v>10826614.459583338</v>
      </c>
      <c r="AR10" s="239">
        <v>10584612.750416672</v>
      </c>
      <c r="AS10" s="239">
        <v>10342611.041250005</v>
      </c>
      <c r="AT10" s="239">
        <v>10100609.332083339</v>
      </c>
      <c r="AU10" s="239">
        <v>9858607.6229166724</v>
      </c>
      <c r="AV10" s="239">
        <v>9616605.9137500059</v>
      </c>
      <c r="AW10" s="239">
        <v>9374604.2045833394</v>
      </c>
      <c r="AX10" s="239">
        <v>9132602.4954166729</v>
      </c>
      <c r="AY10" s="239">
        <v>8890600.7862500064</v>
      </c>
      <c r="AZ10" s="239">
        <v>8648599.0770833399</v>
      </c>
      <c r="BA10" s="239">
        <v>8406597.3679166734</v>
      </c>
      <c r="BB10" s="239">
        <v>8164595.6587500069</v>
      </c>
      <c r="BC10" s="239">
        <v>7922593.9495833404</v>
      </c>
      <c r="BD10" s="239">
        <v>7680592.2404166739</v>
      </c>
      <c r="BE10" s="239">
        <v>7438590.5312500075</v>
      </c>
      <c r="BF10" s="239">
        <v>7196588.822083341</v>
      </c>
      <c r="BG10" s="239">
        <v>6954587.1129166745</v>
      </c>
      <c r="BH10" s="239">
        <v>6712585.403750008</v>
      </c>
      <c r="BI10" s="239">
        <v>6470583.6945833415</v>
      </c>
      <c r="BJ10" s="239">
        <v>6228581.985416675</v>
      </c>
      <c r="BK10" s="239">
        <v>5986580.2762500085</v>
      </c>
      <c r="BL10" s="239">
        <v>5744578.567083342</v>
      </c>
      <c r="BM10" s="239">
        <v>5502576.8579166755</v>
      </c>
      <c r="BN10" s="239">
        <v>5260575.148750009</v>
      </c>
      <c r="BO10" s="239">
        <v>5018573.4395833425</v>
      </c>
      <c r="BP10" s="239">
        <v>4776571.730416676</v>
      </c>
      <c r="BQ10" s="239">
        <v>4538820.1703472314</v>
      </c>
      <c r="BR10" s="239">
        <v>4305318.7593750088</v>
      </c>
      <c r="BS10" s="239">
        <v>4076067.4975000089</v>
      </c>
      <c r="BT10" s="239">
        <v>3851066.384722231</v>
      </c>
      <c r="BU10" s="239">
        <v>3630315.4210416754</v>
      </c>
      <c r="BV10" s="239">
        <v>3413814.6064583422</v>
      </c>
      <c r="BW10" s="239">
        <v>3201563.9409722309</v>
      </c>
      <c r="BX10" s="239">
        <v>2993563.4245833419</v>
      </c>
      <c r="BY10" s="239">
        <v>2789813.0572916754</v>
      </c>
      <c r="BZ10" s="239">
        <v>2590312.8390972307</v>
      </c>
      <c r="CA10" s="239">
        <v>2395062.7700000084</v>
      </c>
      <c r="CB10" s="239">
        <v>2204062.8500000085</v>
      </c>
      <c r="CC10" s="239">
        <v>2020968.7338194528</v>
      </c>
      <c r="CD10" s="239">
        <v>1845780.4214583416</v>
      </c>
      <c r="CE10" s="239">
        <v>1678497.912916675</v>
      </c>
      <c r="CF10" s="239">
        <v>1519121.2081944528</v>
      </c>
      <c r="CG10" s="239">
        <v>1367650.3072916749</v>
      </c>
      <c r="CH10" s="239">
        <v>1224085.2102083415</v>
      </c>
      <c r="CI10" s="239">
        <v>1088425.9169444526</v>
      </c>
      <c r="CJ10" s="239">
        <v>960672.42750000814</v>
      </c>
      <c r="CK10" s="239">
        <v>840824.7418750081</v>
      </c>
      <c r="CL10" s="239">
        <v>728882.86006945255</v>
      </c>
      <c r="CM10" s="239">
        <v>624846.78208334139</v>
      </c>
      <c r="CN10" s="239">
        <v>528716.50791667472</v>
      </c>
      <c r="CO10" s="239">
        <v>440597.08993056358</v>
      </c>
      <c r="CP10" s="239">
        <v>360488.52812500799</v>
      </c>
      <c r="CQ10" s="239">
        <v>288390.82250000798</v>
      </c>
      <c r="CR10" s="239">
        <v>224303.97305556352</v>
      </c>
      <c r="CS10" s="239">
        <v>168227.97979167462</v>
      </c>
      <c r="CT10" s="239">
        <v>120162.84270834128</v>
      </c>
      <c r="CU10" s="239">
        <v>80108.561805563499</v>
      </c>
      <c r="CV10" s="239">
        <v>48065.13708334128</v>
      </c>
      <c r="CW10" s="239">
        <v>24032.568541674613</v>
      </c>
      <c r="CX10" s="239">
        <v>8010.8561805635018</v>
      </c>
      <c r="CY10" s="239">
        <v>7.946255209390074E-9</v>
      </c>
      <c r="CZ10" s="239">
        <v>7.946255209390074E-9</v>
      </c>
      <c r="DA10" s="239">
        <v>7.946255209390074E-9</v>
      </c>
      <c r="DB10" s="239">
        <v>7.946255209390074E-9</v>
      </c>
      <c r="DC10" s="239">
        <v>7.946255209390074E-9</v>
      </c>
      <c r="DD10" s="239">
        <v>7.946255209390074E-9</v>
      </c>
      <c r="DE10" s="239">
        <v>7.946255209390074E-9</v>
      </c>
      <c r="DF10" s="239">
        <v>7.946255209390074E-9</v>
      </c>
      <c r="DG10" s="239">
        <v>7.946255209390074E-9</v>
      </c>
      <c r="DH10" s="239">
        <v>7.946255209390074E-9</v>
      </c>
      <c r="DI10" s="239">
        <v>7.946255209390074E-9</v>
      </c>
      <c r="DJ10" s="239">
        <v>7.946255209390074E-9</v>
      </c>
      <c r="DK10" s="239">
        <v>7.946255209390074E-9</v>
      </c>
      <c r="DL10" s="239">
        <v>7.946255209390074E-9</v>
      </c>
      <c r="DM10" s="239">
        <v>7.946255209390074E-9</v>
      </c>
      <c r="DN10" s="239">
        <v>7.946255209390074E-9</v>
      </c>
      <c r="DO10" s="239">
        <v>7.946255209390074E-9</v>
      </c>
      <c r="DP10" s="239">
        <v>7.946255209390074E-9</v>
      </c>
      <c r="DQ10" s="239">
        <v>7.946255209390074E-9</v>
      </c>
      <c r="DR10" s="239">
        <v>7.946255209390074E-9</v>
      </c>
      <c r="DS10" s="239">
        <v>7.946255209390074E-9</v>
      </c>
      <c r="DT10" s="239">
        <v>7.946255209390074E-9</v>
      </c>
      <c r="DU10" s="239">
        <v>7.946255209390074E-9</v>
      </c>
      <c r="DV10" s="239">
        <v>7.946255209390074E-9</v>
      </c>
      <c r="DW10" s="239">
        <v>7.946255209390074E-9</v>
      </c>
      <c r="DX10" s="239">
        <v>7.946255209390074E-9</v>
      </c>
      <c r="DY10" s="239">
        <v>7.946255209390074E-9</v>
      </c>
      <c r="DZ10" s="239">
        <v>7.946255209390074E-9</v>
      </c>
      <c r="EA10" s="239">
        <v>7.946255209390074E-9</v>
      </c>
      <c r="EB10" s="239">
        <v>7.946255209390074E-9</v>
      </c>
      <c r="EC10" s="239">
        <v>7.946255209390074E-9</v>
      </c>
      <c r="ED10" s="239">
        <v>7.946255209390074E-9</v>
      </c>
      <c r="EE10" s="239">
        <v>7.946255209390074E-9</v>
      </c>
      <c r="EF10" s="239">
        <v>7.946255209390074E-9</v>
      </c>
      <c r="EG10" s="239">
        <v>7.946255209390074E-9</v>
      </c>
      <c r="EH10" s="239">
        <v>7.946255209390074E-9</v>
      </c>
      <c r="EI10" s="239">
        <v>7.946255209390074E-9</v>
      </c>
      <c r="EJ10" s="239">
        <v>7.946255209390074E-9</v>
      </c>
      <c r="EK10" s="239">
        <v>7.946255209390074E-9</v>
      </c>
      <c r="EL10" s="239">
        <v>7.946255209390074E-9</v>
      </c>
      <c r="EM10" s="239">
        <v>7.946255209390074E-9</v>
      </c>
      <c r="EN10" s="239">
        <v>7.946255209390074E-9</v>
      </c>
      <c r="EO10" s="239">
        <v>7.946255209390074E-9</v>
      </c>
      <c r="EP10" s="239">
        <v>7.946255209390074E-9</v>
      </c>
      <c r="EQ10" s="239">
        <v>7.946255209390074E-9</v>
      </c>
      <c r="ER10" s="239">
        <v>7.946255209390074E-9</v>
      </c>
      <c r="ES10" s="239">
        <v>7.946255209390074E-9</v>
      </c>
      <c r="ET10" s="239">
        <v>7.946255209390074E-9</v>
      </c>
      <c r="EU10" s="239">
        <v>7.946255209390074E-9</v>
      </c>
      <c r="EV10" s="239">
        <v>7.946255209390074E-9</v>
      </c>
      <c r="EW10" s="239">
        <v>7.946255209390074E-9</v>
      </c>
      <c r="EX10" s="239">
        <v>7.946255209390074E-9</v>
      </c>
      <c r="EY10" s="239">
        <v>7.946255209390074E-9</v>
      </c>
      <c r="EZ10" s="239">
        <v>7.946255209390074E-9</v>
      </c>
      <c r="FA10" s="239">
        <v>7.946255209390074E-9</v>
      </c>
      <c r="FB10" s="239">
        <v>7.946255209390074E-9</v>
      </c>
      <c r="FC10" s="239">
        <v>7.946255209390074E-9</v>
      </c>
      <c r="FD10" s="239">
        <v>7.946255209390074E-9</v>
      </c>
      <c r="FE10" s="239">
        <v>7.946255209390074E-9</v>
      </c>
      <c r="FF10" s="239">
        <v>7.946255209390074E-9</v>
      </c>
      <c r="FG10" s="239">
        <v>7.946255209390074E-9</v>
      </c>
    </row>
    <row r="11" spans="2:163" x14ac:dyDescent="0.25">
      <c r="B11" s="223" t="s">
        <v>400</v>
      </c>
      <c r="C11" s="223" t="s">
        <v>401</v>
      </c>
      <c r="D11" s="223" t="s">
        <v>402</v>
      </c>
      <c r="E11" s="223">
        <v>0</v>
      </c>
      <c r="F11" s="223" t="s">
        <v>403</v>
      </c>
      <c r="G11" s="223" t="s">
        <v>406</v>
      </c>
      <c r="H11" s="224">
        <v>370128.33333333331</v>
      </c>
      <c r="I11" s="224">
        <v>734087.86111111112</v>
      </c>
      <c r="J11" s="224">
        <v>1091878.5833333335</v>
      </c>
      <c r="K11" s="224">
        <v>1443500.5</v>
      </c>
      <c r="L11" s="224">
        <v>1788953.611111111</v>
      </c>
      <c r="M11" s="224">
        <v>2128237.9166666665</v>
      </c>
      <c r="N11" s="224">
        <v>2461353.4166666665</v>
      </c>
      <c r="O11" s="224">
        <v>2788300.111111111</v>
      </c>
      <c r="P11" s="224">
        <v>3109078</v>
      </c>
      <c r="Q11" s="224">
        <v>3423687.0833333335</v>
      </c>
      <c r="R11" s="224">
        <v>3732127.3611111115</v>
      </c>
      <c r="S11" s="224">
        <v>4034398.833333334</v>
      </c>
      <c r="T11" s="224">
        <v>4641817.4458333338</v>
      </c>
      <c r="U11" s="224">
        <v>5237878.6536805565</v>
      </c>
      <c r="V11" s="224">
        <v>5822582.4568750011</v>
      </c>
      <c r="W11" s="224">
        <v>6395928.8554166676</v>
      </c>
      <c r="X11" s="224">
        <v>6957917.8493055571</v>
      </c>
      <c r="Y11" s="224">
        <v>7508549.4385416685</v>
      </c>
      <c r="Z11" s="224">
        <v>8047823.6231250018</v>
      </c>
      <c r="AA11" s="224">
        <v>8575740.403055558</v>
      </c>
      <c r="AB11" s="224">
        <v>9092299.7783333361</v>
      </c>
      <c r="AC11" s="224">
        <v>9597501.7489583362</v>
      </c>
      <c r="AD11" s="224">
        <v>10091346.314930558</v>
      </c>
      <c r="AE11" s="224">
        <v>10573833.476250002</v>
      </c>
      <c r="AF11" s="224">
        <v>11054211.874583334</v>
      </c>
      <c r="AG11" s="224">
        <v>11523078.724236112</v>
      </c>
      <c r="AH11" s="224">
        <v>11980434.025208335</v>
      </c>
      <c r="AI11" s="224">
        <v>12426277.777500004</v>
      </c>
      <c r="AJ11" s="224">
        <v>12860609.981111115</v>
      </c>
      <c r="AK11" s="224">
        <v>13283430.636041669</v>
      </c>
      <c r="AL11" s="224">
        <v>13694739.742291668</v>
      </c>
      <c r="AM11" s="224">
        <v>14094537.299861113</v>
      </c>
      <c r="AN11" s="224">
        <v>14482823.30875</v>
      </c>
      <c r="AO11" s="224">
        <v>14859597.768958334</v>
      </c>
      <c r="AP11" s="224">
        <v>15224860.680486113</v>
      </c>
      <c r="AQ11" s="224">
        <v>15578612.043333337</v>
      </c>
      <c r="AR11" s="224">
        <v>15230158.936666669</v>
      </c>
      <c r="AS11" s="224">
        <v>14881705.830000002</v>
      </c>
      <c r="AT11" s="224">
        <v>14533252.723333335</v>
      </c>
      <c r="AU11" s="224">
        <v>14184799.616666667</v>
      </c>
      <c r="AV11" s="224">
        <v>13836346.51</v>
      </c>
      <c r="AW11" s="224">
        <v>13487893.403333332</v>
      </c>
      <c r="AX11" s="224">
        <v>13139440.296666665</v>
      </c>
      <c r="AY11" s="224">
        <v>12790987.189999998</v>
      </c>
      <c r="AZ11" s="224">
        <v>12442534.08333333</v>
      </c>
      <c r="BA11" s="224">
        <v>12094080.976666663</v>
      </c>
      <c r="BB11" s="224">
        <v>11745627.869999995</v>
      </c>
      <c r="BC11" s="224">
        <v>11397174.763333328</v>
      </c>
      <c r="BD11" s="224">
        <v>11048721.656666661</v>
      </c>
      <c r="BE11" s="224">
        <v>10700268.549999993</v>
      </c>
      <c r="BF11" s="224">
        <v>10351815.443333326</v>
      </c>
      <c r="BG11" s="224">
        <v>10003362.336666659</v>
      </c>
      <c r="BH11" s="224">
        <v>9654909.2299999911</v>
      </c>
      <c r="BI11" s="224">
        <v>9306456.1233333237</v>
      </c>
      <c r="BJ11" s="224">
        <v>8958003.0166666564</v>
      </c>
      <c r="BK11" s="224">
        <v>8609549.909999989</v>
      </c>
      <c r="BL11" s="224">
        <v>8261096.8033333225</v>
      </c>
      <c r="BM11" s="224">
        <v>7912643.6966666561</v>
      </c>
      <c r="BN11" s="224">
        <v>7564190.5899999896</v>
      </c>
      <c r="BO11" s="224">
        <v>7215737.4833333232</v>
      </c>
      <c r="BP11" s="224">
        <v>6867284.3766666567</v>
      </c>
      <c r="BQ11" s="224">
        <v>6525000.0755555453</v>
      </c>
      <c r="BR11" s="224">
        <v>6188884.5799999898</v>
      </c>
      <c r="BS11" s="224">
        <v>5858937.8899999894</v>
      </c>
      <c r="BT11" s="224">
        <v>5535160.005555545</v>
      </c>
      <c r="BU11" s="224">
        <v>5217550.9266666556</v>
      </c>
      <c r="BV11" s="224">
        <v>4906110.6533333221</v>
      </c>
      <c r="BW11" s="224">
        <v>4600839.1855555438</v>
      </c>
      <c r="BX11" s="224">
        <v>4301736.5233333213</v>
      </c>
      <c r="BY11" s="224">
        <v>4008802.6666666544</v>
      </c>
      <c r="BZ11" s="224">
        <v>3722037.615555543</v>
      </c>
      <c r="CA11" s="224">
        <v>3441441.3699999871</v>
      </c>
      <c r="CB11" s="224">
        <v>3167013.9299999867</v>
      </c>
      <c r="CC11" s="224">
        <v>2903943.8946527643</v>
      </c>
      <c r="CD11" s="224">
        <v>2652231.2639583196</v>
      </c>
      <c r="CE11" s="224">
        <v>2411876.0379166529</v>
      </c>
      <c r="CF11" s="224">
        <v>2182878.2165277638</v>
      </c>
      <c r="CG11" s="224">
        <v>1965237.7997916525</v>
      </c>
      <c r="CH11" s="224">
        <v>1758954.787708319</v>
      </c>
      <c r="CI11" s="224">
        <v>1564029.1802777634</v>
      </c>
      <c r="CJ11" s="224">
        <v>1380460.9774999856</v>
      </c>
      <c r="CK11" s="224">
        <v>1208250.1793749856</v>
      </c>
      <c r="CL11" s="224">
        <v>1047396.7859027634</v>
      </c>
      <c r="CM11" s="224">
        <v>897900.79708331893</v>
      </c>
      <c r="CN11" s="224">
        <v>759762.21291665221</v>
      </c>
      <c r="CO11" s="224">
        <v>633135.17743054102</v>
      </c>
      <c r="CP11" s="224">
        <v>518019.69062498544</v>
      </c>
      <c r="CQ11" s="224">
        <v>414415.75249998539</v>
      </c>
      <c r="CR11" s="224">
        <v>322323.36305554095</v>
      </c>
      <c r="CS11" s="224">
        <v>241742.52229165204</v>
      </c>
      <c r="CT11" s="224">
        <v>172673.23020831871</v>
      </c>
      <c r="CU11" s="224">
        <v>115115.48680554092</v>
      </c>
      <c r="CV11" s="224">
        <v>69069.292083318694</v>
      </c>
      <c r="CW11" s="224">
        <v>34534.646041652028</v>
      </c>
      <c r="CX11" s="224">
        <v>11511.548680540913</v>
      </c>
      <c r="CY11" s="224">
        <v>-1.464468368794769E-8</v>
      </c>
      <c r="CZ11" s="224">
        <v>-1.464468368794769E-8</v>
      </c>
      <c r="DA11" s="224">
        <v>-1.464468368794769E-8</v>
      </c>
      <c r="DB11" s="224">
        <v>-1.464468368794769E-8</v>
      </c>
      <c r="DC11" s="224">
        <v>-1.464468368794769E-8</v>
      </c>
      <c r="DD11" s="224">
        <v>-1.464468368794769E-8</v>
      </c>
      <c r="DE11" s="224">
        <v>-1.464468368794769E-8</v>
      </c>
      <c r="DF11" s="224">
        <v>-1.464468368794769E-8</v>
      </c>
      <c r="DG11" s="224">
        <v>-1.464468368794769E-8</v>
      </c>
      <c r="DH11" s="224">
        <v>-1.464468368794769E-8</v>
      </c>
      <c r="DI11" s="224">
        <v>-1.464468368794769E-8</v>
      </c>
      <c r="DJ11" s="224">
        <v>-1.464468368794769E-8</v>
      </c>
      <c r="DK11" s="224">
        <v>-1.464468368794769E-8</v>
      </c>
      <c r="DL11" s="224">
        <v>-1.464468368794769E-8</v>
      </c>
      <c r="DM11" s="224">
        <v>-1.464468368794769E-8</v>
      </c>
      <c r="DN11" s="224">
        <v>-1.464468368794769E-8</v>
      </c>
      <c r="DO11" s="224">
        <v>-1.464468368794769E-8</v>
      </c>
      <c r="DP11" s="224">
        <v>-1.464468368794769E-8</v>
      </c>
      <c r="DQ11" s="224">
        <v>-1.464468368794769E-8</v>
      </c>
      <c r="DR11" s="224">
        <v>-1.464468368794769E-8</v>
      </c>
      <c r="DS11" s="224">
        <v>-1.464468368794769E-8</v>
      </c>
      <c r="DT11" s="224">
        <v>-1.464468368794769E-8</v>
      </c>
      <c r="DU11" s="224">
        <v>-1.464468368794769E-8</v>
      </c>
      <c r="DV11" s="224">
        <v>-1.464468368794769E-8</v>
      </c>
      <c r="DW11" s="224">
        <v>-1.464468368794769E-8</v>
      </c>
      <c r="DX11" s="224">
        <v>-1.464468368794769E-8</v>
      </c>
      <c r="DY11" s="224">
        <v>-1.464468368794769E-8</v>
      </c>
      <c r="DZ11" s="224">
        <v>-1.464468368794769E-8</v>
      </c>
      <c r="EA11" s="224">
        <v>-1.464468368794769E-8</v>
      </c>
      <c r="EB11" s="224">
        <v>-1.464468368794769E-8</v>
      </c>
      <c r="EC11" s="224">
        <v>-1.464468368794769E-8</v>
      </c>
      <c r="ED11" s="224">
        <v>-1.464468368794769E-8</v>
      </c>
      <c r="EE11" s="224">
        <v>-1.464468368794769E-8</v>
      </c>
      <c r="EF11" s="224">
        <v>-1.464468368794769E-8</v>
      </c>
      <c r="EG11" s="224">
        <v>-1.464468368794769E-8</v>
      </c>
      <c r="EH11" s="224">
        <v>-1.464468368794769E-8</v>
      </c>
      <c r="EI11" s="224">
        <v>-1.464468368794769E-8</v>
      </c>
      <c r="EJ11" s="224">
        <v>-1.464468368794769E-8</v>
      </c>
      <c r="EK11" s="224">
        <v>-1.464468368794769E-8</v>
      </c>
      <c r="EL11" s="224">
        <v>-1.464468368794769E-8</v>
      </c>
      <c r="EM11" s="224">
        <v>-1.464468368794769E-8</v>
      </c>
      <c r="EN11" s="224">
        <v>-1.464468368794769E-8</v>
      </c>
      <c r="EO11" s="224">
        <v>-1.464468368794769E-8</v>
      </c>
      <c r="EP11" s="224">
        <v>-1.464468368794769E-8</v>
      </c>
      <c r="EQ11" s="224">
        <v>-1.464468368794769E-8</v>
      </c>
      <c r="ER11" s="224">
        <v>-1.464468368794769E-8</v>
      </c>
      <c r="ES11" s="224">
        <v>-1.464468368794769E-8</v>
      </c>
      <c r="ET11" s="224">
        <v>-1.464468368794769E-8</v>
      </c>
      <c r="EU11" s="224">
        <v>-1.464468368794769E-8</v>
      </c>
      <c r="EV11" s="224">
        <v>-1.464468368794769E-8</v>
      </c>
      <c r="EW11" s="224">
        <v>-1.464468368794769E-8</v>
      </c>
      <c r="EX11" s="224">
        <v>-1.464468368794769E-8</v>
      </c>
      <c r="EY11" s="224">
        <v>-1.464468368794769E-8</v>
      </c>
      <c r="EZ11" s="224">
        <v>-1.464468368794769E-8</v>
      </c>
      <c r="FA11" s="224">
        <v>-1.464468368794769E-8</v>
      </c>
      <c r="FB11" s="224">
        <v>-1.464468368794769E-8</v>
      </c>
      <c r="FC11" s="224">
        <v>-1.464468368794769E-8</v>
      </c>
      <c r="FD11" s="224">
        <v>-1.464468368794769E-8</v>
      </c>
      <c r="FE11" s="224">
        <v>-1.464468368794769E-8</v>
      </c>
      <c r="FF11" s="224">
        <v>-1.464468368794769E-8</v>
      </c>
      <c r="FG11" s="224">
        <v>-1.464468368794769E-8</v>
      </c>
    </row>
    <row r="12" spans="2:163" x14ac:dyDescent="0.25">
      <c r="B12" s="223" t="s">
        <v>400</v>
      </c>
      <c r="C12" s="223" t="s">
        <v>401</v>
      </c>
      <c r="D12" s="223" t="s">
        <v>402</v>
      </c>
      <c r="E12" s="223">
        <v>0</v>
      </c>
      <c r="F12" s="223" t="s">
        <v>403</v>
      </c>
      <c r="G12" s="223" t="s">
        <v>407</v>
      </c>
      <c r="H12" s="224">
        <v>20.55</v>
      </c>
      <c r="I12" s="224">
        <v>40.7575</v>
      </c>
      <c r="J12" s="224">
        <v>60.622500000000002</v>
      </c>
      <c r="K12" s="224">
        <v>80.144999999999996</v>
      </c>
      <c r="L12" s="224">
        <v>99.324999999999989</v>
      </c>
      <c r="M12" s="224">
        <v>118.16249999999998</v>
      </c>
      <c r="N12" s="224">
        <v>136.65749999999997</v>
      </c>
      <c r="O12" s="224">
        <v>154.80999999999997</v>
      </c>
      <c r="P12" s="224">
        <v>172.61999999999998</v>
      </c>
      <c r="Q12" s="224">
        <v>190.08749999999998</v>
      </c>
      <c r="R12" s="224">
        <v>207.21249999999998</v>
      </c>
      <c r="S12" s="224">
        <v>223.99499999999998</v>
      </c>
      <c r="T12" s="224">
        <v>240.43499999999997</v>
      </c>
      <c r="U12" s="224">
        <v>256.53249999999997</v>
      </c>
      <c r="V12" s="224">
        <v>272.28749999999997</v>
      </c>
      <c r="W12" s="224">
        <v>287.7</v>
      </c>
      <c r="X12" s="224">
        <v>302.77</v>
      </c>
      <c r="Y12" s="224">
        <v>317.4975</v>
      </c>
      <c r="Z12" s="224">
        <v>331.88249999999999</v>
      </c>
      <c r="AA12" s="224">
        <v>345.92500000000001</v>
      </c>
      <c r="AB12" s="224">
        <v>359.625</v>
      </c>
      <c r="AC12" s="224">
        <v>372.98250000000002</v>
      </c>
      <c r="AD12" s="224">
        <v>385.9975</v>
      </c>
      <c r="AE12" s="224">
        <v>398.67</v>
      </c>
      <c r="AF12" s="224">
        <v>411</v>
      </c>
      <c r="AG12" s="224">
        <v>422.98750000000001</v>
      </c>
      <c r="AH12" s="224">
        <v>434.63250000000005</v>
      </c>
      <c r="AI12" s="224">
        <v>445.93500000000006</v>
      </c>
      <c r="AJ12" s="224">
        <v>456.8950000000001</v>
      </c>
      <c r="AK12" s="224">
        <v>467.5125000000001</v>
      </c>
      <c r="AL12" s="224">
        <v>477.78750000000014</v>
      </c>
      <c r="AM12" s="224">
        <v>487.72000000000014</v>
      </c>
      <c r="AN12" s="224">
        <v>497.31000000000017</v>
      </c>
      <c r="AO12" s="224">
        <v>506.55750000000012</v>
      </c>
      <c r="AP12" s="224">
        <v>515.46250000000009</v>
      </c>
      <c r="AQ12" s="224">
        <v>524.02500000000009</v>
      </c>
      <c r="AR12" s="224">
        <v>511.69500000000011</v>
      </c>
      <c r="AS12" s="224">
        <v>499.36500000000012</v>
      </c>
      <c r="AT12" s="224">
        <v>487.03500000000014</v>
      </c>
      <c r="AU12" s="224">
        <v>474.70500000000015</v>
      </c>
      <c r="AV12" s="224">
        <v>462.37500000000017</v>
      </c>
      <c r="AW12" s="224">
        <v>450.04500000000019</v>
      </c>
      <c r="AX12" s="224">
        <v>437.7150000000002</v>
      </c>
      <c r="AY12" s="224">
        <v>425.38500000000022</v>
      </c>
      <c r="AZ12" s="224">
        <v>413.05500000000023</v>
      </c>
      <c r="BA12" s="224">
        <v>400.72500000000025</v>
      </c>
      <c r="BB12" s="224">
        <v>388.39500000000027</v>
      </c>
      <c r="BC12" s="224">
        <v>376.06500000000028</v>
      </c>
      <c r="BD12" s="224">
        <v>363.7350000000003</v>
      </c>
      <c r="BE12" s="224">
        <v>351.40500000000031</v>
      </c>
      <c r="BF12" s="224">
        <v>339.07500000000033</v>
      </c>
      <c r="BG12" s="224">
        <v>326.74500000000035</v>
      </c>
      <c r="BH12" s="224">
        <v>314.41500000000036</v>
      </c>
      <c r="BI12" s="224">
        <v>302.08500000000038</v>
      </c>
      <c r="BJ12" s="224">
        <v>289.75500000000039</v>
      </c>
      <c r="BK12" s="224">
        <v>277.42500000000041</v>
      </c>
      <c r="BL12" s="224">
        <v>265.09500000000043</v>
      </c>
      <c r="BM12" s="224">
        <v>252.76500000000044</v>
      </c>
      <c r="BN12" s="224">
        <v>240.43500000000046</v>
      </c>
      <c r="BO12" s="224">
        <v>228.10500000000047</v>
      </c>
      <c r="BP12" s="224">
        <v>215.77500000000049</v>
      </c>
      <c r="BQ12" s="224">
        <v>203.78750000000051</v>
      </c>
      <c r="BR12" s="224">
        <v>192.14250000000052</v>
      </c>
      <c r="BS12" s="224">
        <v>180.84000000000052</v>
      </c>
      <c r="BT12" s="224">
        <v>169.88000000000051</v>
      </c>
      <c r="BU12" s="224">
        <v>159.2625000000005</v>
      </c>
      <c r="BV12" s="224">
        <v>148.98750000000049</v>
      </c>
      <c r="BW12" s="224">
        <v>139.05500000000049</v>
      </c>
      <c r="BX12" s="224">
        <v>129.46500000000049</v>
      </c>
      <c r="BY12" s="224">
        <v>120.21750000000048</v>
      </c>
      <c r="BZ12" s="224">
        <v>111.31250000000048</v>
      </c>
      <c r="CA12" s="224">
        <v>102.75000000000048</v>
      </c>
      <c r="CB12" s="224">
        <v>94.530000000000484</v>
      </c>
      <c r="CC12" s="224">
        <v>86.652500000000487</v>
      </c>
      <c r="CD12" s="224">
        <v>79.11750000000049</v>
      </c>
      <c r="CE12" s="224">
        <v>71.925000000000495</v>
      </c>
      <c r="CF12" s="224">
        <v>65.075000000000486</v>
      </c>
      <c r="CG12" s="224">
        <v>58.567500000000486</v>
      </c>
      <c r="CH12" s="224">
        <v>52.402500000000487</v>
      </c>
      <c r="CI12" s="224">
        <v>46.580000000000481</v>
      </c>
      <c r="CJ12" s="224">
        <v>41.100000000000477</v>
      </c>
      <c r="CK12" s="224">
        <v>35.962500000000475</v>
      </c>
      <c r="CL12" s="224">
        <v>31.167500000000473</v>
      </c>
      <c r="CM12" s="224">
        <v>26.715000000000472</v>
      </c>
      <c r="CN12" s="224">
        <v>22.605000000000473</v>
      </c>
      <c r="CO12" s="224">
        <v>18.837500000000471</v>
      </c>
      <c r="CP12" s="224">
        <v>15.41250000000047</v>
      </c>
      <c r="CQ12" s="224">
        <v>12.330000000000471</v>
      </c>
      <c r="CR12" s="224">
        <v>9.5900000000004706</v>
      </c>
      <c r="CS12" s="224">
        <v>7.1925000000004706</v>
      </c>
      <c r="CT12" s="224">
        <v>5.13750000000047</v>
      </c>
      <c r="CU12" s="224">
        <v>3.4250000000004701</v>
      </c>
      <c r="CV12" s="224">
        <v>2.05500000000047</v>
      </c>
      <c r="CW12" s="224">
        <v>1.0275000000004699</v>
      </c>
      <c r="CX12" s="224">
        <v>0.34250000000046987</v>
      </c>
      <c r="CY12" s="224">
        <v>4.6984638402136625E-13</v>
      </c>
      <c r="CZ12" s="224">
        <v>4.6984638402136625E-13</v>
      </c>
      <c r="DA12" s="224">
        <v>4.6984638402136625E-13</v>
      </c>
      <c r="DB12" s="224">
        <v>4.6984638402136625E-13</v>
      </c>
      <c r="DC12" s="224">
        <v>4.6984638402136625E-13</v>
      </c>
      <c r="DD12" s="224">
        <v>4.6984638402136625E-13</v>
      </c>
      <c r="DE12" s="224">
        <v>4.6984638402136625E-13</v>
      </c>
      <c r="DF12" s="224">
        <v>4.6984638402136625E-13</v>
      </c>
      <c r="DG12" s="224">
        <v>4.6984638402136625E-13</v>
      </c>
      <c r="DH12" s="224">
        <v>4.6984638402136625E-13</v>
      </c>
      <c r="DI12" s="224">
        <v>4.6984638402136625E-13</v>
      </c>
      <c r="DJ12" s="224">
        <v>4.6984638402136625E-13</v>
      </c>
      <c r="DK12" s="224">
        <v>4.6984638402136625E-13</v>
      </c>
      <c r="DL12" s="224">
        <v>4.6984638402136625E-13</v>
      </c>
      <c r="DM12" s="224">
        <v>4.6984638402136625E-13</v>
      </c>
      <c r="DN12" s="224">
        <v>4.6984638402136625E-13</v>
      </c>
      <c r="DO12" s="224">
        <v>4.6984638402136625E-13</v>
      </c>
      <c r="DP12" s="224">
        <v>4.6984638402136625E-13</v>
      </c>
      <c r="DQ12" s="224">
        <v>4.6984638402136625E-13</v>
      </c>
      <c r="DR12" s="224">
        <v>4.6984638402136625E-13</v>
      </c>
      <c r="DS12" s="224">
        <v>4.6984638402136625E-13</v>
      </c>
      <c r="DT12" s="224">
        <v>4.6984638402136625E-13</v>
      </c>
      <c r="DU12" s="224">
        <v>4.6984638402136625E-13</v>
      </c>
      <c r="DV12" s="224">
        <v>4.6984638402136625E-13</v>
      </c>
      <c r="DW12" s="224">
        <v>4.6984638402136625E-13</v>
      </c>
      <c r="DX12" s="224">
        <v>4.6984638402136625E-13</v>
      </c>
      <c r="DY12" s="224">
        <v>4.6984638402136625E-13</v>
      </c>
      <c r="DZ12" s="224">
        <v>4.6984638402136625E-13</v>
      </c>
      <c r="EA12" s="224">
        <v>4.6984638402136625E-13</v>
      </c>
      <c r="EB12" s="224">
        <v>4.6984638402136625E-13</v>
      </c>
      <c r="EC12" s="224">
        <v>4.6984638402136625E-13</v>
      </c>
      <c r="ED12" s="224">
        <v>4.6984638402136625E-13</v>
      </c>
      <c r="EE12" s="224">
        <v>4.6984638402136625E-13</v>
      </c>
      <c r="EF12" s="224">
        <v>4.6984638402136625E-13</v>
      </c>
      <c r="EG12" s="224">
        <v>4.6984638402136625E-13</v>
      </c>
      <c r="EH12" s="224">
        <v>4.6984638402136625E-13</v>
      </c>
      <c r="EI12" s="224">
        <v>4.6984638402136625E-13</v>
      </c>
      <c r="EJ12" s="224">
        <v>4.6984638402136625E-13</v>
      </c>
      <c r="EK12" s="224">
        <v>4.6984638402136625E-13</v>
      </c>
      <c r="EL12" s="224">
        <v>4.6984638402136625E-13</v>
      </c>
      <c r="EM12" s="224">
        <v>4.6984638402136625E-13</v>
      </c>
      <c r="EN12" s="224">
        <v>4.6984638402136625E-13</v>
      </c>
      <c r="EO12" s="224">
        <v>4.6984638402136625E-13</v>
      </c>
      <c r="EP12" s="224">
        <v>4.6984638402136625E-13</v>
      </c>
      <c r="EQ12" s="224">
        <v>4.6984638402136625E-13</v>
      </c>
      <c r="ER12" s="224">
        <v>4.6984638402136625E-13</v>
      </c>
      <c r="ES12" s="224">
        <v>4.6984638402136625E-13</v>
      </c>
      <c r="ET12" s="224">
        <v>4.6984638402136625E-13</v>
      </c>
      <c r="EU12" s="224">
        <v>4.6984638402136625E-13</v>
      </c>
      <c r="EV12" s="224">
        <v>4.6984638402136625E-13</v>
      </c>
      <c r="EW12" s="224">
        <v>4.6984638402136625E-13</v>
      </c>
      <c r="EX12" s="224">
        <v>4.6984638402136625E-13</v>
      </c>
      <c r="EY12" s="224">
        <v>4.6984638402136625E-13</v>
      </c>
      <c r="EZ12" s="224">
        <v>4.6984638402136625E-13</v>
      </c>
      <c r="FA12" s="224">
        <v>4.6984638402136625E-13</v>
      </c>
      <c r="FB12" s="224">
        <v>4.6984638402136625E-13</v>
      </c>
      <c r="FC12" s="224">
        <v>4.6984638402136625E-13</v>
      </c>
      <c r="FD12" s="224">
        <v>4.6984638402136625E-13</v>
      </c>
      <c r="FE12" s="224">
        <v>4.6984638402136625E-13</v>
      </c>
      <c r="FF12" s="224">
        <v>4.6984638402136625E-13</v>
      </c>
      <c r="FG12" s="224">
        <v>4.6984638402136625E-13</v>
      </c>
    </row>
    <row r="13" spans="2:163" x14ac:dyDescent="0.25">
      <c r="B13" s="223" t="s">
        <v>400</v>
      </c>
      <c r="C13" s="223" t="s">
        <v>401</v>
      </c>
      <c r="D13" s="223" t="s">
        <v>402</v>
      </c>
      <c r="E13" s="223">
        <v>0</v>
      </c>
      <c r="F13" s="223" t="s">
        <v>408</v>
      </c>
      <c r="G13" s="223" t="s">
        <v>409</v>
      </c>
      <c r="H13" s="224">
        <v>111997.5</v>
      </c>
      <c r="I13" s="224">
        <v>222128.375</v>
      </c>
      <c r="J13" s="224">
        <v>330392.625</v>
      </c>
      <c r="K13" s="224">
        <v>436790.25</v>
      </c>
      <c r="L13" s="224">
        <v>541321.25</v>
      </c>
      <c r="M13" s="224">
        <v>643985.625</v>
      </c>
      <c r="N13" s="224">
        <v>744783.375</v>
      </c>
      <c r="O13" s="224">
        <v>843714.5</v>
      </c>
      <c r="P13" s="224">
        <v>940779</v>
      </c>
      <c r="Q13" s="224">
        <v>1035976.875</v>
      </c>
      <c r="R13" s="224">
        <v>1129308.125</v>
      </c>
      <c r="S13" s="224">
        <v>1220772.75</v>
      </c>
      <c r="T13" s="224">
        <v>1440041.25</v>
      </c>
      <c r="U13" s="224">
        <v>1655281.95</v>
      </c>
      <c r="V13" s="224">
        <v>1866494.8499999999</v>
      </c>
      <c r="W13" s="224">
        <v>2073679.9499999997</v>
      </c>
      <c r="X13" s="224">
        <v>2276837.2499999995</v>
      </c>
      <c r="Y13" s="224">
        <v>2475966.7499999995</v>
      </c>
      <c r="Z13" s="224">
        <v>2671068.4499999997</v>
      </c>
      <c r="AA13" s="224">
        <v>2862142.3499999996</v>
      </c>
      <c r="AB13" s="224">
        <v>3049188.4499999997</v>
      </c>
      <c r="AC13" s="224">
        <v>3232206.7499999995</v>
      </c>
      <c r="AD13" s="224">
        <v>3411197.2499999995</v>
      </c>
      <c r="AE13" s="224">
        <v>3586159.9499999997</v>
      </c>
      <c r="AF13" s="224">
        <v>3760382.8499999996</v>
      </c>
      <c r="AG13" s="224">
        <v>3930523.1499999994</v>
      </c>
      <c r="AH13" s="224">
        <v>4096580.8499999996</v>
      </c>
      <c r="AI13" s="224">
        <v>4258555.9499999993</v>
      </c>
      <c r="AJ13" s="224">
        <v>4416448.4499999993</v>
      </c>
      <c r="AK13" s="224">
        <v>4570258.3499999996</v>
      </c>
      <c r="AL13" s="224">
        <v>4719985.6499999994</v>
      </c>
      <c r="AM13" s="224">
        <v>4865630.3499999996</v>
      </c>
      <c r="AN13" s="224">
        <v>5007192.4499999993</v>
      </c>
      <c r="AO13" s="224">
        <v>5144671.9499999993</v>
      </c>
      <c r="AP13" s="224">
        <v>5278068.8499999996</v>
      </c>
      <c r="AQ13" s="224">
        <v>5407383.1499999994</v>
      </c>
      <c r="AR13" s="224">
        <v>5287658.8499999996</v>
      </c>
      <c r="AS13" s="224">
        <v>5167934.55</v>
      </c>
      <c r="AT13" s="224">
        <v>5048210.25</v>
      </c>
      <c r="AU13" s="224">
        <v>4928485.95</v>
      </c>
      <c r="AV13" s="224">
        <v>4808761.6500000004</v>
      </c>
      <c r="AW13" s="224">
        <v>4689037.3500000006</v>
      </c>
      <c r="AX13" s="224">
        <v>4569313.0500000007</v>
      </c>
      <c r="AY13" s="224">
        <v>4449588.7500000009</v>
      </c>
      <c r="AZ13" s="224">
        <v>4329864.4500000011</v>
      </c>
      <c r="BA13" s="224">
        <v>4210140.1500000013</v>
      </c>
      <c r="BB13" s="224">
        <v>4090415.8500000015</v>
      </c>
      <c r="BC13" s="224">
        <v>3970691.5500000017</v>
      </c>
      <c r="BD13" s="224">
        <v>3850967.2500000019</v>
      </c>
      <c r="BE13" s="224">
        <v>3731242.950000002</v>
      </c>
      <c r="BF13" s="224">
        <v>3611518.6500000022</v>
      </c>
      <c r="BG13" s="224">
        <v>3491794.3500000024</v>
      </c>
      <c r="BH13" s="224">
        <v>3372070.0500000026</v>
      </c>
      <c r="BI13" s="224">
        <v>3252345.7500000028</v>
      </c>
      <c r="BJ13" s="224">
        <v>3132621.450000003</v>
      </c>
      <c r="BK13" s="224">
        <v>3012897.1500000032</v>
      </c>
      <c r="BL13" s="224">
        <v>2893172.8500000034</v>
      </c>
      <c r="BM13" s="224">
        <v>2773448.5500000035</v>
      </c>
      <c r="BN13" s="224">
        <v>2653724.2500000037</v>
      </c>
      <c r="BO13" s="224">
        <v>2533999.9500000039</v>
      </c>
      <c r="BP13" s="224">
        <v>2414275.6500000041</v>
      </c>
      <c r="BQ13" s="224">
        <v>2296417.9750000043</v>
      </c>
      <c r="BR13" s="224">
        <v>2180426.9250000045</v>
      </c>
      <c r="BS13" s="224">
        <v>2066302.5000000044</v>
      </c>
      <c r="BT13" s="224">
        <v>1954044.7000000044</v>
      </c>
      <c r="BU13" s="224">
        <v>1843653.5250000043</v>
      </c>
      <c r="BV13" s="224">
        <v>1735128.9750000043</v>
      </c>
      <c r="BW13" s="224">
        <v>1628471.0500000042</v>
      </c>
      <c r="BX13" s="224">
        <v>1523679.7500000042</v>
      </c>
      <c r="BY13" s="224">
        <v>1420755.0750000041</v>
      </c>
      <c r="BZ13" s="224">
        <v>1319697.0250000041</v>
      </c>
      <c r="CA13" s="224">
        <v>1220505.6000000041</v>
      </c>
      <c r="CB13" s="224">
        <v>1123180.800000004</v>
      </c>
      <c r="CC13" s="224">
        <v>1029883.800000004</v>
      </c>
      <c r="CD13" s="224">
        <v>940614.60000000405</v>
      </c>
      <c r="CE13" s="224">
        <v>855373.20000000403</v>
      </c>
      <c r="CF13" s="224">
        <v>774159.60000000405</v>
      </c>
      <c r="CG13" s="224">
        <v>696973.800000004</v>
      </c>
      <c r="CH13" s="224">
        <v>623815.800000004</v>
      </c>
      <c r="CI13" s="224">
        <v>554685.60000000405</v>
      </c>
      <c r="CJ13" s="224">
        <v>489583.20000000403</v>
      </c>
      <c r="CK13" s="224">
        <v>428508.60000000405</v>
      </c>
      <c r="CL13" s="224">
        <v>371461.80000000406</v>
      </c>
      <c r="CM13" s="224">
        <v>318442.80000000406</v>
      </c>
      <c r="CN13" s="224">
        <v>269451.60000000405</v>
      </c>
      <c r="CO13" s="224">
        <v>224543.00000000405</v>
      </c>
      <c r="CP13" s="224">
        <v>183717.00000000405</v>
      </c>
      <c r="CQ13" s="224">
        <v>146973.60000000405</v>
      </c>
      <c r="CR13" s="224">
        <v>114312.80000000405</v>
      </c>
      <c r="CS13" s="224">
        <v>85734.600000004051</v>
      </c>
      <c r="CT13" s="224">
        <v>61239.000000004053</v>
      </c>
      <c r="CU13" s="224">
        <v>40826.000000004053</v>
      </c>
      <c r="CV13" s="224">
        <v>24495.600000004051</v>
      </c>
      <c r="CW13" s="224">
        <v>12247.800000004052</v>
      </c>
      <c r="CX13" s="224">
        <v>4082.6000000040522</v>
      </c>
      <c r="CY13" s="224">
        <v>4.0522536437492818E-9</v>
      </c>
      <c r="CZ13" s="224">
        <v>4.0522536437492818E-9</v>
      </c>
      <c r="DA13" s="224">
        <v>4.0522536437492818E-9</v>
      </c>
      <c r="DB13" s="224">
        <v>4.0522536437492818E-9</v>
      </c>
      <c r="DC13" s="224">
        <v>4.0522536437492818E-9</v>
      </c>
      <c r="DD13" s="224">
        <v>4.0522536437492818E-9</v>
      </c>
      <c r="DE13" s="224">
        <v>4.0522536437492818E-9</v>
      </c>
      <c r="DF13" s="224">
        <v>4.0522536437492818E-9</v>
      </c>
      <c r="DG13" s="224">
        <v>4.0522536437492818E-9</v>
      </c>
      <c r="DH13" s="224">
        <v>4.0522536437492818E-9</v>
      </c>
      <c r="DI13" s="224">
        <v>4.0522536437492818E-9</v>
      </c>
      <c r="DJ13" s="224">
        <v>4.0522536437492818E-9</v>
      </c>
      <c r="DK13" s="224">
        <v>4.0522536437492818E-9</v>
      </c>
      <c r="DL13" s="224">
        <v>4.0522536437492818E-9</v>
      </c>
      <c r="DM13" s="224">
        <v>4.0522536437492818E-9</v>
      </c>
      <c r="DN13" s="224">
        <v>4.0522536437492818E-9</v>
      </c>
      <c r="DO13" s="224">
        <v>4.0522536437492818E-9</v>
      </c>
      <c r="DP13" s="224">
        <v>4.0522536437492818E-9</v>
      </c>
      <c r="DQ13" s="224">
        <v>4.0522536437492818E-9</v>
      </c>
      <c r="DR13" s="224">
        <v>4.0522536437492818E-9</v>
      </c>
      <c r="DS13" s="224">
        <v>4.0522536437492818E-9</v>
      </c>
      <c r="DT13" s="224">
        <v>4.0522536437492818E-9</v>
      </c>
      <c r="DU13" s="224">
        <v>4.0522536437492818E-9</v>
      </c>
      <c r="DV13" s="224">
        <v>4.0522536437492818E-9</v>
      </c>
      <c r="DW13" s="224">
        <v>4.0522536437492818E-9</v>
      </c>
      <c r="DX13" s="224">
        <v>4.0522536437492818E-9</v>
      </c>
      <c r="DY13" s="224">
        <v>4.0522536437492818E-9</v>
      </c>
      <c r="DZ13" s="224">
        <v>4.0522536437492818E-9</v>
      </c>
      <c r="EA13" s="224">
        <v>4.0522536437492818E-9</v>
      </c>
      <c r="EB13" s="224">
        <v>4.0522536437492818E-9</v>
      </c>
      <c r="EC13" s="224">
        <v>4.0522536437492818E-9</v>
      </c>
      <c r="ED13" s="224">
        <v>4.0522536437492818E-9</v>
      </c>
      <c r="EE13" s="224">
        <v>4.0522536437492818E-9</v>
      </c>
      <c r="EF13" s="224">
        <v>4.0522536437492818E-9</v>
      </c>
      <c r="EG13" s="224">
        <v>4.0522536437492818E-9</v>
      </c>
      <c r="EH13" s="224">
        <v>4.0522536437492818E-9</v>
      </c>
      <c r="EI13" s="224">
        <v>4.0522536437492818E-9</v>
      </c>
      <c r="EJ13" s="224">
        <v>4.0522536437492818E-9</v>
      </c>
      <c r="EK13" s="224">
        <v>4.0522536437492818E-9</v>
      </c>
      <c r="EL13" s="224">
        <v>4.0522536437492818E-9</v>
      </c>
      <c r="EM13" s="224">
        <v>4.0522536437492818E-9</v>
      </c>
      <c r="EN13" s="224">
        <v>4.0522536437492818E-9</v>
      </c>
      <c r="EO13" s="224">
        <v>4.0522536437492818E-9</v>
      </c>
      <c r="EP13" s="224">
        <v>4.0522536437492818E-9</v>
      </c>
      <c r="EQ13" s="224">
        <v>4.0522536437492818E-9</v>
      </c>
      <c r="ER13" s="224">
        <v>4.0522536437492818E-9</v>
      </c>
      <c r="ES13" s="224">
        <v>4.0522536437492818E-9</v>
      </c>
      <c r="ET13" s="224">
        <v>4.0522536437492818E-9</v>
      </c>
      <c r="EU13" s="224">
        <v>4.0522536437492818E-9</v>
      </c>
      <c r="EV13" s="224">
        <v>4.0522536437492818E-9</v>
      </c>
      <c r="EW13" s="224">
        <v>4.0522536437492818E-9</v>
      </c>
      <c r="EX13" s="224">
        <v>4.0522536437492818E-9</v>
      </c>
      <c r="EY13" s="224">
        <v>4.0522536437492818E-9</v>
      </c>
      <c r="EZ13" s="224">
        <v>4.0522536437492818E-9</v>
      </c>
      <c r="FA13" s="224">
        <v>4.0522536437492818E-9</v>
      </c>
      <c r="FB13" s="224">
        <v>4.0522536437492818E-9</v>
      </c>
      <c r="FC13" s="224">
        <v>4.0522536437492818E-9</v>
      </c>
      <c r="FD13" s="224">
        <v>4.0522536437492818E-9</v>
      </c>
      <c r="FE13" s="224">
        <v>4.0522536437492818E-9</v>
      </c>
      <c r="FF13" s="224">
        <v>4.0522536437492818E-9</v>
      </c>
      <c r="FG13" s="224">
        <v>4.0522536437492818E-9</v>
      </c>
    </row>
    <row r="14" spans="2:163" x14ac:dyDescent="0.25">
      <c r="B14" s="223" t="s">
        <v>400</v>
      </c>
      <c r="C14" s="223" t="s">
        <v>401</v>
      </c>
      <c r="D14" s="223" t="s">
        <v>402</v>
      </c>
      <c r="E14" s="223">
        <v>0</v>
      </c>
      <c r="F14" s="223" t="s">
        <v>408</v>
      </c>
      <c r="G14" s="223" t="s">
        <v>410</v>
      </c>
      <c r="H14" s="224">
        <v>0</v>
      </c>
      <c r="I14" s="224">
        <v>0</v>
      </c>
      <c r="J14" s="224">
        <v>0</v>
      </c>
      <c r="K14" s="224">
        <v>0</v>
      </c>
      <c r="L14" s="224">
        <v>0</v>
      </c>
      <c r="M14" s="224">
        <v>0</v>
      </c>
      <c r="N14" s="224">
        <v>0</v>
      </c>
      <c r="O14" s="224">
        <v>0</v>
      </c>
      <c r="P14" s="224">
        <v>0</v>
      </c>
      <c r="Q14" s="224">
        <v>0</v>
      </c>
      <c r="R14" s="224">
        <v>0</v>
      </c>
      <c r="S14" s="224">
        <v>0</v>
      </c>
      <c r="T14" s="224">
        <v>0</v>
      </c>
      <c r="U14" s="224">
        <v>0</v>
      </c>
      <c r="V14" s="224">
        <v>0</v>
      </c>
      <c r="W14" s="224">
        <v>0</v>
      </c>
      <c r="X14" s="224">
        <v>0</v>
      </c>
      <c r="Y14" s="224">
        <v>0</v>
      </c>
      <c r="Z14" s="224">
        <v>0</v>
      </c>
      <c r="AA14" s="224">
        <v>0</v>
      </c>
      <c r="AB14" s="224">
        <v>0</v>
      </c>
      <c r="AC14" s="224">
        <v>0</v>
      </c>
      <c r="AD14" s="224">
        <v>0</v>
      </c>
      <c r="AE14" s="224">
        <v>0</v>
      </c>
      <c r="AF14" s="224">
        <v>0</v>
      </c>
      <c r="AG14" s="224">
        <v>0</v>
      </c>
      <c r="AH14" s="224">
        <v>0</v>
      </c>
      <c r="AI14" s="224">
        <v>0</v>
      </c>
      <c r="AJ14" s="224">
        <v>0</v>
      </c>
      <c r="AK14" s="224">
        <v>0</v>
      </c>
      <c r="AL14" s="224">
        <v>0</v>
      </c>
      <c r="AM14" s="224">
        <v>0</v>
      </c>
      <c r="AN14" s="224">
        <v>0</v>
      </c>
      <c r="AO14" s="224">
        <v>0</v>
      </c>
      <c r="AP14" s="224">
        <v>0</v>
      </c>
      <c r="AQ14" s="224">
        <v>0</v>
      </c>
      <c r="AR14" s="224">
        <v>0</v>
      </c>
      <c r="AS14" s="224">
        <v>0</v>
      </c>
      <c r="AT14" s="224">
        <v>0</v>
      </c>
      <c r="AU14" s="224">
        <v>0</v>
      </c>
      <c r="AV14" s="224">
        <v>0</v>
      </c>
      <c r="AW14" s="224">
        <v>0</v>
      </c>
      <c r="AX14" s="224">
        <v>0</v>
      </c>
      <c r="AY14" s="224">
        <v>0</v>
      </c>
      <c r="AZ14" s="224">
        <v>0</v>
      </c>
      <c r="BA14" s="224">
        <v>0</v>
      </c>
      <c r="BB14" s="224">
        <v>0</v>
      </c>
      <c r="BC14" s="224">
        <v>0</v>
      </c>
      <c r="BD14" s="224">
        <v>0</v>
      </c>
      <c r="BE14" s="224">
        <v>0</v>
      </c>
      <c r="BF14" s="224">
        <v>0</v>
      </c>
      <c r="BG14" s="224">
        <v>0</v>
      </c>
      <c r="BH14" s="224">
        <v>0</v>
      </c>
      <c r="BI14" s="224">
        <v>0</v>
      </c>
      <c r="BJ14" s="224">
        <v>0</v>
      </c>
      <c r="BK14" s="224">
        <v>0</v>
      </c>
      <c r="BL14" s="224">
        <v>0</v>
      </c>
      <c r="BM14" s="224">
        <v>0</v>
      </c>
      <c r="BN14" s="224">
        <v>0</v>
      </c>
      <c r="BO14" s="224">
        <v>0</v>
      </c>
      <c r="BP14" s="224">
        <v>0</v>
      </c>
      <c r="BQ14" s="224">
        <v>0</v>
      </c>
      <c r="BR14" s="224">
        <v>0</v>
      </c>
      <c r="BS14" s="224">
        <v>0</v>
      </c>
      <c r="BT14" s="224">
        <v>0</v>
      </c>
      <c r="BU14" s="224">
        <v>0</v>
      </c>
      <c r="BV14" s="224">
        <v>0</v>
      </c>
      <c r="BW14" s="224">
        <v>0</v>
      </c>
      <c r="BX14" s="224">
        <v>0</v>
      </c>
      <c r="BY14" s="224">
        <v>0</v>
      </c>
      <c r="BZ14" s="224">
        <v>0</v>
      </c>
      <c r="CA14" s="224">
        <v>0</v>
      </c>
      <c r="CB14" s="224">
        <v>0</v>
      </c>
      <c r="CC14" s="224">
        <v>0</v>
      </c>
      <c r="CD14" s="224">
        <v>0</v>
      </c>
      <c r="CE14" s="224">
        <v>0</v>
      </c>
      <c r="CF14" s="224">
        <v>0</v>
      </c>
      <c r="CG14" s="224">
        <v>0</v>
      </c>
      <c r="CH14" s="224">
        <v>0</v>
      </c>
      <c r="CI14" s="224">
        <v>0</v>
      </c>
      <c r="CJ14" s="224">
        <v>0</v>
      </c>
      <c r="CK14" s="224">
        <v>0</v>
      </c>
      <c r="CL14" s="224">
        <v>0</v>
      </c>
      <c r="CM14" s="224">
        <v>0</v>
      </c>
      <c r="CN14" s="224">
        <v>0</v>
      </c>
      <c r="CO14" s="224">
        <v>0</v>
      </c>
      <c r="CP14" s="224">
        <v>0</v>
      </c>
      <c r="CQ14" s="224">
        <v>0</v>
      </c>
      <c r="CR14" s="224">
        <v>0</v>
      </c>
      <c r="CS14" s="224">
        <v>0</v>
      </c>
      <c r="CT14" s="224">
        <v>0</v>
      </c>
      <c r="CU14" s="224">
        <v>0</v>
      </c>
      <c r="CV14" s="224">
        <v>0</v>
      </c>
      <c r="CW14" s="224">
        <v>0</v>
      </c>
      <c r="CX14" s="224">
        <v>0</v>
      </c>
      <c r="CY14" s="224">
        <v>0</v>
      </c>
      <c r="CZ14" s="224">
        <v>0</v>
      </c>
      <c r="DA14" s="224">
        <v>0</v>
      </c>
      <c r="DB14" s="224">
        <v>0</v>
      </c>
      <c r="DC14" s="224">
        <v>0</v>
      </c>
      <c r="DD14" s="224">
        <v>0</v>
      </c>
      <c r="DE14" s="224">
        <v>0</v>
      </c>
      <c r="DF14" s="224">
        <v>0</v>
      </c>
      <c r="DG14" s="224">
        <v>0</v>
      </c>
      <c r="DH14" s="224">
        <v>0</v>
      </c>
      <c r="DI14" s="224">
        <v>0</v>
      </c>
      <c r="DJ14" s="224">
        <v>0</v>
      </c>
      <c r="DK14" s="224">
        <v>0</v>
      </c>
      <c r="DL14" s="224">
        <v>0</v>
      </c>
      <c r="DM14" s="224">
        <v>0</v>
      </c>
      <c r="DN14" s="224">
        <v>0</v>
      </c>
      <c r="DO14" s="224">
        <v>0</v>
      </c>
      <c r="DP14" s="224">
        <v>0</v>
      </c>
      <c r="DQ14" s="224">
        <v>0</v>
      </c>
      <c r="DR14" s="224">
        <v>0</v>
      </c>
      <c r="DS14" s="224">
        <v>0</v>
      </c>
      <c r="DT14" s="224">
        <v>0</v>
      </c>
      <c r="DU14" s="224">
        <v>0</v>
      </c>
      <c r="DV14" s="224">
        <v>0</v>
      </c>
      <c r="DW14" s="224">
        <v>0</v>
      </c>
      <c r="DX14" s="224">
        <v>0</v>
      </c>
      <c r="DY14" s="224">
        <v>0</v>
      </c>
      <c r="DZ14" s="224">
        <v>0</v>
      </c>
      <c r="EA14" s="224">
        <v>0</v>
      </c>
      <c r="EB14" s="224">
        <v>0</v>
      </c>
      <c r="EC14" s="224">
        <v>0</v>
      </c>
      <c r="ED14" s="224">
        <v>0</v>
      </c>
      <c r="EE14" s="224">
        <v>0</v>
      </c>
      <c r="EF14" s="224">
        <v>0</v>
      </c>
      <c r="EG14" s="224">
        <v>0</v>
      </c>
      <c r="EH14" s="224">
        <v>0</v>
      </c>
      <c r="EI14" s="224">
        <v>0</v>
      </c>
      <c r="EJ14" s="224">
        <v>0</v>
      </c>
      <c r="EK14" s="224">
        <v>0</v>
      </c>
      <c r="EL14" s="224">
        <v>0</v>
      </c>
      <c r="EM14" s="224">
        <v>0</v>
      </c>
      <c r="EN14" s="224">
        <v>0</v>
      </c>
      <c r="EO14" s="224">
        <v>0</v>
      </c>
      <c r="EP14" s="224">
        <v>0</v>
      </c>
      <c r="EQ14" s="224">
        <v>0</v>
      </c>
      <c r="ER14" s="224">
        <v>0</v>
      </c>
      <c r="ES14" s="224">
        <v>0</v>
      </c>
      <c r="ET14" s="224">
        <v>0</v>
      </c>
      <c r="EU14" s="224">
        <v>0</v>
      </c>
      <c r="EV14" s="224">
        <v>0</v>
      </c>
      <c r="EW14" s="224">
        <v>0</v>
      </c>
      <c r="EX14" s="224">
        <v>0</v>
      </c>
      <c r="EY14" s="224">
        <v>0</v>
      </c>
      <c r="EZ14" s="224">
        <v>0</v>
      </c>
      <c r="FA14" s="224">
        <v>0</v>
      </c>
      <c r="FB14" s="224">
        <v>0</v>
      </c>
      <c r="FC14" s="224">
        <v>0</v>
      </c>
      <c r="FD14" s="224">
        <v>0</v>
      </c>
      <c r="FE14" s="224">
        <v>0</v>
      </c>
      <c r="FF14" s="224">
        <v>0</v>
      </c>
      <c r="FG14" s="224">
        <v>0</v>
      </c>
    </row>
    <row r="15" spans="2:163" x14ac:dyDescent="0.25">
      <c r="B15" s="223" t="s">
        <v>400</v>
      </c>
      <c r="C15" s="223" t="s">
        <v>401</v>
      </c>
      <c r="D15" s="223" t="s">
        <v>402</v>
      </c>
      <c r="E15" s="223">
        <v>0</v>
      </c>
      <c r="F15" s="223" t="s">
        <v>411</v>
      </c>
      <c r="G15" s="223" t="s">
        <v>412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4">
        <v>0</v>
      </c>
      <c r="N15" s="224">
        <v>0</v>
      </c>
      <c r="O15" s="224">
        <v>0</v>
      </c>
      <c r="P15" s="224">
        <v>0</v>
      </c>
      <c r="Q15" s="224">
        <v>0</v>
      </c>
      <c r="R15" s="224">
        <v>0</v>
      </c>
      <c r="S15" s="224">
        <v>0</v>
      </c>
      <c r="T15" s="224">
        <v>0</v>
      </c>
      <c r="U15" s="224">
        <v>0</v>
      </c>
      <c r="V15" s="224">
        <v>0</v>
      </c>
      <c r="W15" s="224">
        <v>0</v>
      </c>
      <c r="X15" s="224">
        <v>0</v>
      </c>
      <c r="Y15" s="224">
        <v>0</v>
      </c>
      <c r="Z15" s="224">
        <v>0</v>
      </c>
      <c r="AA15" s="224">
        <v>0</v>
      </c>
      <c r="AB15" s="224">
        <v>0</v>
      </c>
      <c r="AC15" s="224">
        <v>0</v>
      </c>
      <c r="AD15" s="224">
        <v>0</v>
      </c>
      <c r="AE15" s="224">
        <v>0</v>
      </c>
      <c r="AF15" s="224">
        <v>0</v>
      </c>
      <c r="AG15" s="224">
        <v>0</v>
      </c>
      <c r="AH15" s="224">
        <v>0</v>
      </c>
      <c r="AI15" s="224">
        <v>0</v>
      </c>
      <c r="AJ15" s="224">
        <v>0</v>
      </c>
      <c r="AK15" s="224">
        <v>0</v>
      </c>
      <c r="AL15" s="224">
        <v>0</v>
      </c>
      <c r="AM15" s="224">
        <v>0</v>
      </c>
      <c r="AN15" s="224">
        <v>0</v>
      </c>
      <c r="AO15" s="224">
        <v>0</v>
      </c>
      <c r="AP15" s="224">
        <v>0</v>
      </c>
      <c r="AQ15" s="224">
        <v>0</v>
      </c>
      <c r="AR15" s="224">
        <v>0</v>
      </c>
      <c r="AS15" s="224">
        <v>0</v>
      </c>
      <c r="AT15" s="224">
        <v>0</v>
      </c>
      <c r="AU15" s="224">
        <v>0</v>
      </c>
      <c r="AV15" s="224">
        <v>0</v>
      </c>
      <c r="AW15" s="224">
        <v>0</v>
      </c>
      <c r="AX15" s="224">
        <v>0</v>
      </c>
      <c r="AY15" s="224">
        <v>0</v>
      </c>
      <c r="AZ15" s="224">
        <v>0</v>
      </c>
      <c r="BA15" s="224">
        <v>0</v>
      </c>
      <c r="BB15" s="224">
        <v>0</v>
      </c>
      <c r="BC15" s="224">
        <v>0</v>
      </c>
      <c r="BD15" s="224">
        <v>0</v>
      </c>
      <c r="BE15" s="224">
        <v>0</v>
      </c>
      <c r="BF15" s="224">
        <v>0</v>
      </c>
      <c r="BG15" s="224">
        <v>0</v>
      </c>
      <c r="BH15" s="224">
        <v>0</v>
      </c>
      <c r="BI15" s="224">
        <v>0</v>
      </c>
      <c r="BJ15" s="224">
        <v>0</v>
      </c>
      <c r="BK15" s="224">
        <v>0</v>
      </c>
      <c r="BL15" s="224">
        <v>0</v>
      </c>
      <c r="BM15" s="224">
        <v>0</v>
      </c>
      <c r="BN15" s="224">
        <v>0</v>
      </c>
      <c r="BO15" s="224">
        <v>0</v>
      </c>
      <c r="BP15" s="224">
        <v>0</v>
      </c>
      <c r="BQ15" s="224">
        <v>0</v>
      </c>
      <c r="BR15" s="224">
        <v>0</v>
      </c>
      <c r="BS15" s="224">
        <v>0</v>
      </c>
      <c r="BT15" s="224">
        <v>0</v>
      </c>
      <c r="BU15" s="224">
        <v>0</v>
      </c>
      <c r="BV15" s="224">
        <v>0</v>
      </c>
      <c r="BW15" s="224">
        <v>0</v>
      </c>
      <c r="BX15" s="224">
        <v>0</v>
      </c>
      <c r="BY15" s="224">
        <v>0</v>
      </c>
      <c r="BZ15" s="224">
        <v>0</v>
      </c>
      <c r="CA15" s="224">
        <v>0</v>
      </c>
      <c r="CB15" s="224">
        <v>0</v>
      </c>
      <c r="CC15" s="224">
        <v>0</v>
      </c>
      <c r="CD15" s="224">
        <v>0</v>
      </c>
      <c r="CE15" s="224">
        <v>0</v>
      </c>
      <c r="CF15" s="224">
        <v>0</v>
      </c>
      <c r="CG15" s="224">
        <v>0</v>
      </c>
      <c r="CH15" s="224">
        <v>0</v>
      </c>
      <c r="CI15" s="224">
        <v>0</v>
      </c>
      <c r="CJ15" s="224">
        <v>0</v>
      </c>
      <c r="CK15" s="224">
        <v>0</v>
      </c>
      <c r="CL15" s="224">
        <v>0</v>
      </c>
      <c r="CM15" s="224">
        <v>0</v>
      </c>
      <c r="CN15" s="224">
        <v>0</v>
      </c>
      <c r="CO15" s="224">
        <v>0</v>
      </c>
      <c r="CP15" s="224">
        <v>0</v>
      </c>
      <c r="CQ15" s="224">
        <v>0</v>
      </c>
      <c r="CR15" s="224">
        <v>0</v>
      </c>
      <c r="CS15" s="224">
        <v>0</v>
      </c>
      <c r="CT15" s="224">
        <v>0</v>
      </c>
      <c r="CU15" s="224">
        <v>0</v>
      </c>
      <c r="CV15" s="224">
        <v>0</v>
      </c>
      <c r="CW15" s="224">
        <v>0</v>
      </c>
      <c r="CX15" s="224">
        <v>0</v>
      </c>
      <c r="CY15" s="224">
        <v>0</v>
      </c>
      <c r="CZ15" s="224">
        <v>0</v>
      </c>
      <c r="DA15" s="224">
        <v>0</v>
      </c>
      <c r="DB15" s="224">
        <v>0</v>
      </c>
      <c r="DC15" s="224">
        <v>0</v>
      </c>
      <c r="DD15" s="224">
        <v>0</v>
      </c>
      <c r="DE15" s="224">
        <v>0</v>
      </c>
      <c r="DF15" s="224">
        <v>0</v>
      </c>
      <c r="DG15" s="224">
        <v>0</v>
      </c>
      <c r="DH15" s="224">
        <v>0</v>
      </c>
      <c r="DI15" s="224">
        <v>0</v>
      </c>
      <c r="DJ15" s="224">
        <v>0</v>
      </c>
      <c r="DK15" s="224">
        <v>0</v>
      </c>
      <c r="DL15" s="224">
        <v>0</v>
      </c>
      <c r="DM15" s="224">
        <v>0</v>
      </c>
      <c r="DN15" s="224">
        <v>0</v>
      </c>
      <c r="DO15" s="224">
        <v>0</v>
      </c>
      <c r="DP15" s="224">
        <v>0</v>
      </c>
      <c r="DQ15" s="224">
        <v>0</v>
      </c>
      <c r="DR15" s="224">
        <v>0</v>
      </c>
      <c r="DS15" s="224">
        <v>0</v>
      </c>
      <c r="DT15" s="224">
        <v>0</v>
      </c>
      <c r="DU15" s="224">
        <v>0</v>
      </c>
      <c r="DV15" s="224">
        <v>0</v>
      </c>
      <c r="DW15" s="224">
        <v>0</v>
      </c>
      <c r="DX15" s="224">
        <v>0</v>
      </c>
      <c r="DY15" s="224">
        <v>0</v>
      </c>
      <c r="DZ15" s="224">
        <v>0</v>
      </c>
      <c r="EA15" s="224">
        <v>0</v>
      </c>
      <c r="EB15" s="224">
        <v>0</v>
      </c>
      <c r="EC15" s="224">
        <v>0</v>
      </c>
      <c r="ED15" s="224">
        <v>0</v>
      </c>
      <c r="EE15" s="224">
        <v>0</v>
      </c>
      <c r="EF15" s="224">
        <v>0</v>
      </c>
      <c r="EG15" s="224">
        <v>0</v>
      </c>
      <c r="EH15" s="224">
        <v>0</v>
      </c>
      <c r="EI15" s="224">
        <v>0</v>
      </c>
      <c r="EJ15" s="224">
        <v>0</v>
      </c>
      <c r="EK15" s="224">
        <v>0</v>
      </c>
      <c r="EL15" s="224">
        <v>0</v>
      </c>
      <c r="EM15" s="224">
        <v>0</v>
      </c>
      <c r="EN15" s="224">
        <v>0</v>
      </c>
      <c r="EO15" s="224">
        <v>0</v>
      </c>
      <c r="EP15" s="224">
        <v>0</v>
      </c>
      <c r="EQ15" s="224">
        <v>0</v>
      </c>
      <c r="ER15" s="224">
        <v>0</v>
      </c>
      <c r="ES15" s="224">
        <v>0</v>
      </c>
      <c r="ET15" s="224">
        <v>0</v>
      </c>
      <c r="EU15" s="224">
        <v>0</v>
      </c>
      <c r="EV15" s="224">
        <v>0</v>
      </c>
      <c r="EW15" s="224">
        <v>0</v>
      </c>
      <c r="EX15" s="224">
        <v>0</v>
      </c>
      <c r="EY15" s="224">
        <v>0</v>
      </c>
      <c r="EZ15" s="224">
        <v>0</v>
      </c>
      <c r="FA15" s="224">
        <v>0</v>
      </c>
      <c r="FB15" s="224">
        <v>0</v>
      </c>
      <c r="FC15" s="224">
        <v>0</v>
      </c>
      <c r="FD15" s="224">
        <v>0</v>
      </c>
      <c r="FE15" s="224">
        <v>0</v>
      </c>
      <c r="FF15" s="224">
        <v>0</v>
      </c>
      <c r="FG15" s="224">
        <v>0</v>
      </c>
    </row>
    <row r="16" spans="2:163" x14ac:dyDescent="0.25">
      <c r="B16" s="223" t="s">
        <v>400</v>
      </c>
      <c r="C16" s="223" t="s">
        <v>401</v>
      </c>
      <c r="D16" s="223" t="s">
        <v>402</v>
      </c>
      <c r="E16" s="223">
        <v>0</v>
      </c>
      <c r="F16" s="223" t="s">
        <v>413</v>
      </c>
      <c r="G16" s="223" t="s">
        <v>414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0</v>
      </c>
      <c r="S16" s="224">
        <v>0</v>
      </c>
      <c r="T16" s="224">
        <v>0</v>
      </c>
      <c r="U16" s="224">
        <v>0</v>
      </c>
      <c r="V16" s="224">
        <v>0</v>
      </c>
      <c r="W16" s="224">
        <v>0</v>
      </c>
      <c r="X16" s="224">
        <v>0</v>
      </c>
      <c r="Y16" s="224">
        <v>0</v>
      </c>
      <c r="Z16" s="224">
        <v>0</v>
      </c>
      <c r="AA16" s="224">
        <v>0</v>
      </c>
      <c r="AB16" s="224">
        <v>0</v>
      </c>
      <c r="AC16" s="224">
        <v>0</v>
      </c>
      <c r="AD16" s="224">
        <v>0</v>
      </c>
      <c r="AE16" s="224">
        <v>0</v>
      </c>
      <c r="AF16" s="224">
        <v>0</v>
      </c>
      <c r="AG16" s="224">
        <v>0</v>
      </c>
      <c r="AH16" s="224">
        <v>0</v>
      </c>
      <c r="AI16" s="224">
        <v>0</v>
      </c>
      <c r="AJ16" s="224">
        <v>0</v>
      </c>
      <c r="AK16" s="224">
        <v>0</v>
      </c>
      <c r="AL16" s="224">
        <v>0</v>
      </c>
      <c r="AM16" s="224">
        <v>0</v>
      </c>
      <c r="AN16" s="224">
        <v>0</v>
      </c>
      <c r="AO16" s="224">
        <v>0</v>
      </c>
      <c r="AP16" s="224">
        <v>0</v>
      </c>
      <c r="AQ16" s="224">
        <v>0</v>
      </c>
      <c r="AR16" s="224">
        <v>0</v>
      </c>
      <c r="AS16" s="224">
        <v>0</v>
      </c>
      <c r="AT16" s="224">
        <v>0</v>
      </c>
      <c r="AU16" s="224">
        <v>0</v>
      </c>
      <c r="AV16" s="224">
        <v>0</v>
      </c>
      <c r="AW16" s="224">
        <v>0</v>
      </c>
      <c r="AX16" s="224">
        <v>0</v>
      </c>
      <c r="AY16" s="224">
        <v>0</v>
      </c>
      <c r="AZ16" s="224">
        <v>0</v>
      </c>
      <c r="BA16" s="224">
        <v>0</v>
      </c>
      <c r="BB16" s="224">
        <v>0</v>
      </c>
      <c r="BC16" s="224">
        <v>0</v>
      </c>
      <c r="BD16" s="224">
        <v>0</v>
      </c>
      <c r="BE16" s="224">
        <v>0</v>
      </c>
      <c r="BF16" s="224">
        <v>0</v>
      </c>
      <c r="BG16" s="224">
        <v>0</v>
      </c>
      <c r="BH16" s="224">
        <v>0</v>
      </c>
      <c r="BI16" s="224">
        <v>0</v>
      </c>
      <c r="BJ16" s="224">
        <v>0</v>
      </c>
      <c r="BK16" s="224">
        <v>0</v>
      </c>
      <c r="BL16" s="224">
        <v>0</v>
      </c>
      <c r="BM16" s="224">
        <v>0</v>
      </c>
      <c r="BN16" s="224">
        <v>0</v>
      </c>
      <c r="BO16" s="224">
        <v>0</v>
      </c>
      <c r="BP16" s="224">
        <v>0</v>
      </c>
      <c r="BQ16" s="224">
        <v>0</v>
      </c>
      <c r="BR16" s="224">
        <v>0</v>
      </c>
      <c r="BS16" s="224">
        <v>0</v>
      </c>
      <c r="BT16" s="224">
        <v>0</v>
      </c>
      <c r="BU16" s="224">
        <v>0</v>
      </c>
      <c r="BV16" s="224">
        <v>0</v>
      </c>
      <c r="BW16" s="224">
        <v>0</v>
      </c>
      <c r="BX16" s="224">
        <v>0</v>
      </c>
      <c r="BY16" s="224">
        <v>0</v>
      </c>
      <c r="BZ16" s="224">
        <v>0</v>
      </c>
      <c r="CA16" s="224">
        <v>0</v>
      </c>
      <c r="CB16" s="224">
        <v>0</v>
      </c>
      <c r="CC16" s="224">
        <v>0</v>
      </c>
      <c r="CD16" s="224">
        <v>0</v>
      </c>
      <c r="CE16" s="224">
        <v>0</v>
      </c>
      <c r="CF16" s="224">
        <v>0</v>
      </c>
      <c r="CG16" s="224">
        <v>0</v>
      </c>
      <c r="CH16" s="224">
        <v>0</v>
      </c>
      <c r="CI16" s="224">
        <v>0</v>
      </c>
      <c r="CJ16" s="224">
        <v>0</v>
      </c>
      <c r="CK16" s="224">
        <v>0</v>
      </c>
      <c r="CL16" s="224">
        <v>0</v>
      </c>
      <c r="CM16" s="224">
        <v>0</v>
      </c>
      <c r="CN16" s="224">
        <v>0</v>
      </c>
      <c r="CO16" s="224">
        <v>0</v>
      </c>
      <c r="CP16" s="224">
        <v>0</v>
      </c>
      <c r="CQ16" s="224">
        <v>0</v>
      </c>
      <c r="CR16" s="224">
        <v>0</v>
      </c>
      <c r="CS16" s="224">
        <v>0</v>
      </c>
      <c r="CT16" s="224">
        <v>0</v>
      </c>
      <c r="CU16" s="224">
        <v>0</v>
      </c>
      <c r="CV16" s="224">
        <v>0</v>
      </c>
      <c r="CW16" s="224">
        <v>0</v>
      </c>
      <c r="CX16" s="224">
        <v>0</v>
      </c>
      <c r="CY16" s="224">
        <v>0</v>
      </c>
      <c r="CZ16" s="224">
        <v>0</v>
      </c>
      <c r="DA16" s="224">
        <v>0</v>
      </c>
      <c r="DB16" s="224">
        <v>0</v>
      </c>
      <c r="DC16" s="224">
        <v>0</v>
      </c>
      <c r="DD16" s="224">
        <v>0</v>
      </c>
      <c r="DE16" s="224">
        <v>0</v>
      </c>
      <c r="DF16" s="224">
        <v>0</v>
      </c>
      <c r="DG16" s="224">
        <v>0</v>
      </c>
      <c r="DH16" s="224">
        <v>0</v>
      </c>
      <c r="DI16" s="224">
        <v>0</v>
      </c>
      <c r="DJ16" s="224">
        <v>0</v>
      </c>
      <c r="DK16" s="224">
        <v>0</v>
      </c>
      <c r="DL16" s="224">
        <v>0</v>
      </c>
      <c r="DM16" s="224">
        <v>0</v>
      </c>
      <c r="DN16" s="224">
        <v>0</v>
      </c>
      <c r="DO16" s="224">
        <v>0</v>
      </c>
      <c r="DP16" s="224">
        <v>0</v>
      </c>
      <c r="DQ16" s="224">
        <v>0</v>
      </c>
      <c r="DR16" s="224">
        <v>0</v>
      </c>
      <c r="DS16" s="224">
        <v>0</v>
      </c>
      <c r="DT16" s="224">
        <v>0</v>
      </c>
      <c r="DU16" s="224">
        <v>0</v>
      </c>
      <c r="DV16" s="224">
        <v>0</v>
      </c>
      <c r="DW16" s="224">
        <v>0</v>
      </c>
      <c r="DX16" s="224">
        <v>0</v>
      </c>
      <c r="DY16" s="224">
        <v>0</v>
      </c>
      <c r="DZ16" s="224">
        <v>0</v>
      </c>
      <c r="EA16" s="224">
        <v>0</v>
      </c>
      <c r="EB16" s="224">
        <v>0</v>
      </c>
      <c r="EC16" s="224">
        <v>0</v>
      </c>
      <c r="ED16" s="224">
        <v>0</v>
      </c>
      <c r="EE16" s="224">
        <v>0</v>
      </c>
      <c r="EF16" s="224">
        <v>0</v>
      </c>
      <c r="EG16" s="224">
        <v>0</v>
      </c>
      <c r="EH16" s="224">
        <v>0</v>
      </c>
      <c r="EI16" s="224">
        <v>0</v>
      </c>
      <c r="EJ16" s="224">
        <v>0</v>
      </c>
      <c r="EK16" s="224">
        <v>0</v>
      </c>
      <c r="EL16" s="224">
        <v>0</v>
      </c>
      <c r="EM16" s="224">
        <v>0</v>
      </c>
      <c r="EN16" s="224">
        <v>0</v>
      </c>
      <c r="EO16" s="224">
        <v>0</v>
      </c>
      <c r="EP16" s="224">
        <v>0</v>
      </c>
      <c r="EQ16" s="224">
        <v>0</v>
      </c>
      <c r="ER16" s="224">
        <v>0</v>
      </c>
      <c r="ES16" s="224">
        <v>0</v>
      </c>
      <c r="ET16" s="224">
        <v>0</v>
      </c>
      <c r="EU16" s="224">
        <v>0</v>
      </c>
      <c r="EV16" s="224">
        <v>0</v>
      </c>
      <c r="EW16" s="224">
        <v>0</v>
      </c>
      <c r="EX16" s="224">
        <v>0</v>
      </c>
      <c r="EY16" s="224">
        <v>0</v>
      </c>
      <c r="EZ16" s="224">
        <v>0</v>
      </c>
      <c r="FA16" s="224">
        <v>0</v>
      </c>
      <c r="FB16" s="224">
        <v>0</v>
      </c>
      <c r="FC16" s="224">
        <v>0</v>
      </c>
      <c r="FD16" s="224">
        <v>0</v>
      </c>
      <c r="FE16" s="224">
        <v>0</v>
      </c>
      <c r="FF16" s="224">
        <v>0</v>
      </c>
      <c r="FG16" s="224">
        <v>0</v>
      </c>
    </row>
    <row r="17" spans="2:163" x14ac:dyDescent="0.25">
      <c r="B17" s="223" t="s">
        <v>400</v>
      </c>
      <c r="C17" s="223" t="s">
        <v>401</v>
      </c>
      <c r="D17" s="223" t="s">
        <v>402</v>
      </c>
      <c r="E17" s="223">
        <v>0</v>
      </c>
      <c r="F17" s="223" t="s">
        <v>415</v>
      </c>
      <c r="G17" s="223" t="s">
        <v>415</v>
      </c>
      <c r="H17" s="224">
        <v>0</v>
      </c>
      <c r="I17" s="224">
        <v>0</v>
      </c>
      <c r="J17" s="224">
        <v>0</v>
      </c>
      <c r="K17" s="224">
        <v>0</v>
      </c>
      <c r="L17" s="224">
        <v>0</v>
      </c>
      <c r="M17" s="224">
        <v>0</v>
      </c>
      <c r="N17" s="224">
        <v>0</v>
      </c>
      <c r="O17" s="224">
        <v>0</v>
      </c>
      <c r="P17" s="224">
        <v>0</v>
      </c>
      <c r="Q17" s="224">
        <v>0</v>
      </c>
      <c r="R17" s="224">
        <v>0</v>
      </c>
      <c r="S17" s="224">
        <v>0</v>
      </c>
      <c r="T17" s="224">
        <v>0</v>
      </c>
      <c r="U17" s="224">
        <v>0</v>
      </c>
      <c r="V17" s="224">
        <v>0</v>
      </c>
      <c r="W17" s="224">
        <v>0</v>
      </c>
      <c r="X17" s="224">
        <v>0</v>
      </c>
      <c r="Y17" s="224">
        <v>0</v>
      </c>
      <c r="Z17" s="224">
        <v>0</v>
      </c>
      <c r="AA17" s="224">
        <v>0</v>
      </c>
      <c r="AB17" s="224">
        <v>0</v>
      </c>
      <c r="AC17" s="224">
        <v>0</v>
      </c>
      <c r="AD17" s="224">
        <v>0</v>
      </c>
      <c r="AE17" s="224">
        <v>0</v>
      </c>
      <c r="AF17" s="224">
        <v>0</v>
      </c>
      <c r="AG17" s="224">
        <v>0</v>
      </c>
      <c r="AH17" s="224">
        <v>0</v>
      </c>
      <c r="AI17" s="224">
        <v>0</v>
      </c>
      <c r="AJ17" s="224">
        <v>0</v>
      </c>
      <c r="AK17" s="224">
        <v>0</v>
      </c>
      <c r="AL17" s="224">
        <v>0</v>
      </c>
      <c r="AM17" s="224">
        <v>0</v>
      </c>
      <c r="AN17" s="224">
        <v>0</v>
      </c>
      <c r="AO17" s="224">
        <v>0</v>
      </c>
      <c r="AP17" s="224">
        <v>0</v>
      </c>
      <c r="AQ17" s="224">
        <v>0</v>
      </c>
      <c r="AR17" s="224">
        <v>0</v>
      </c>
      <c r="AS17" s="224">
        <v>0</v>
      </c>
      <c r="AT17" s="224">
        <v>0</v>
      </c>
      <c r="AU17" s="224">
        <v>0</v>
      </c>
      <c r="AV17" s="224">
        <v>0</v>
      </c>
      <c r="AW17" s="224">
        <v>0</v>
      </c>
      <c r="AX17" s="224">
        <v>0</v>
      </c>
      <c r="AY17" s="224">
        <v>0</v>
      </c>
      <c r="AZ17" s="224">
        <v>0</v>
      </c>
      <c r="BA17" s="224">
        <v>0</v>
      </c>
      <c r="BB17" s="224">
        <v>0</v>
      </c>
      <c r="BC17" s="224">
        <v>0</v>
      </c>
      <c r="BD17" s="224">
        <v>0</v>
      </c>
      <c r="BE17" s="224">
        <v>0</v>
      </c>
      <c r="BF17" s="224">
        <v>0</v>
      </c>
      <c r="BG17" s="224">
        <v>0</v>
      </c>
      <c r="BH17" s="224">
        <v>0</v>
      </c>
      <c r="BI17" s="224">
        <v>0</v>
      </c>
      <c r="BJ17" s="224">
        <v>0</v>
      </c>
      <c r="BK17" s="224">
        <v>0</v>
      </c>
      <c r="BL17" s="224">
        <v>0</v>
      </c>
      <c r="BM17" s="224">
        <v>0</v>
      </c>
      <c r="BN17" s="224">
        <v>0</v>
      </c>
      <c r="BO17" s="224">
        <v>0</v>
      </c>
      <c r="BP17" s="224">
        <v>0</v>
      </c>
      <c r="BQ17" s="224">
        <v>0</v>
      </c>
      <c r="BR17" s="224">
        <v>0</v>
      </c>
      <c r="BS17" s="224">
        <v>0</v>
      </c>
      <c r="BT17" s="224">
        <v>0</v>
      </c>
      <c r="BU17" s="224">
        <v>0</v>
      </c>
      <c r="BV17" s="224">
        <v>0</v>
      </c>
      <c r="BW17" s="224">
        <v>0</v>
      </c>
      <c r="BX17" s="224">
        <v>0</v>
      </c>
      <c r="BY17" s="224">
        <v>0</v>
      </c>
      <c r="BZ17" s="224">
        <v>0</v>
      </c>
      <c r="CA17" s="224">
        <v>0</v>
      </c>
      <c r="CB17" s="224">
        <v>0</v>
      </c>
      <c r="CC17" s="224">
        <v>0</v>
      </c>
      <c r="CD17" s="224">
        <v>0</v>
      </c>
      <c r="CE17" s="224">
        <v>0</v>
      </c>
      <c r="CF17" s="224">
        <v>0</v>
      </c>
      <c r="CG17" s="224">
        <v>0</v>
      </c>
      <c r="CH17" s="224">
        <v>0</v>
      </c>
      <c r="CI17" s="224">
        <v>0</v>
      </c>
      <c r="CJ17" s="224">
        <v>0</v>
      </c>
      <c r="CK17" s="224">
        <v>0</v>
      </c>
      <c r="CL17" s="224">
        <v>0</v>
      </c>
      <c r="CM17" s="224">
        <v>0</v>
      </c>
      <c r="CN17" s="224">
        <v>0</v>
      </c>
      <c r="CO17" s="224">
        <v>0</v>
      </c>
      <c r="CP17" s="224">
        <v>0</v>
      </c>
      <c r="CQ17" s="224">
        <v>0</v>
      </c>
      <c r="CR17" s="224">
        <v>0</v>
      </c>
      <c r="CS17" s="224">
        <v>0</v>
      </c>
      <c r="CT17" s="224">
        <v>0</v>
      </c>
      <c r="CU17" s="224">
        <v>0</v>
      </c>
      <c r="CV17" s="224">
        <v>0</v>
      </c>
      <c r="CW17" s="224">
        <v>0</v>
      </c>
      <c r="CX17" s="224">
        <v>0</v>
      </c>
      <c r="CY17" s="224">
        <v>0</v>
      </c>
      <c r="CZ17" s="224">
        <v>0</v>
      </c>
      <c r="DA17" s="224">
        <v>0</v>
      </c>
      <c r="DB17" s="224">
        <v>0</v>
      </c>
      <c r="DC17" s="224">
        <v>0</v>
      </c>
      <c r="DD17" s="224">
        <v>0</v>
      </c>
      <c r="DE17" s="224">
        <v>0</v>
      </c>
      <c r="DF17" s="224">
        <v>0</v>
      </c>
      <c r="DG17" s="224">
        <v>0</v>
      </c>
      <c r="DH17" s="224">
        <v>0</v>
      </c>
      <c r="DI17" s="224">
        <v>0</v>
      </c>
      <c r="DJ17" s="224">
        <v>0</v>
      </c>
      <c r="DK17" s="224">
        <v>0</v>
      </c>
      <c r="DL17" s="224">
        <v>0</v>
      </c>
      <c r="DM17" s="224">
        <v>0</v>
      </c>
      <c r="DN17" s="224">
        <v>0</v>
      </c>
      <c r="DO17" s="224">
        <v>0</v>
      </c>
      <c r="DP17" s="224">
        <v>0</v>
      </c>
      <c r="DQ17" s="224">
        <v>0</v>
      </c>
      <c r="DR17" s="224">
        <v>0</v>
      </c>
      <c r="DS17" s="224">
        <v>0</v>
      </c>
      <c r="DT17" s="224">
        <v>0</v>
      </c>
      <c r="DU17" s="224">
        <v>0</v>
      </c>
      <c r="DV17" s="224">
        <v>0</v>
      </c>
      <c r="DW17" s="224">
        <v>0</v>
      </c>
      <c r="DX17" s="224">
        <v>0</v>
      </c>
      <c r="DY17" s="224">
        <v>0</v>
      </c>
      <c r="DZ17" s="224">
        <v>0</v>
      </c>
      <c r="EA17" s="224">
        <v>0</v>
      </c>
      <c r="EB17" s="224">
        <v>0</v>
      </c>
      <c r="EC17" s="224">
        <v>0</v>
      </c>
      <c r="ED17" s="224">
        <v>0</v>
      </c>
      <c r="EE17" s="224">
        <v>0</v>
      </c>
      <c r="EF17" s="224">
        <v>0</v>
      </c>
      <c r="EG17" s="224">
        <v>0</v>
      </c>
      <c r="EH17" s="224">
        <v>0</v>
      </c>
      <c r="EI17" s="224">
        <v>0</v>
      </c>
      <c r="EJ17" s="224">
        <v>0</v>
      </c>
      <c r="EK17" s="224">
        <v>0</v>
      </c>
      <c r="EL17" s="224">
        <v>0</v>
      </c>
      <c r="EM17" s="224">
        <v>0</v>
      </c>
      <c r="EN17" s="224">
        <v>0</v>
      </c>
      <c r="EO17" s="224">
        <v>0</v>
      </c>
      <c r="EP17" s="224">
        <v>0</v>
      </c>
      <c r="EQ17" s="224">
        <v>0</v>
      </c>
      <c r="ER17" s="224">
        <v>0</v>
      </c>
      <c r="ES17" s="224">
        <v>0</v>
      </c>
      <c r="ET17" s="224">
        <v>0</v>
      </c>
      <c r="EU17" s="224">
        <v>0</v>
      </c>
      <c r="EV17" s="224">
        <v>0</v>
      </c>
      <c r="EW17" s="224">
        <v>0</v>
      </c>
      <c r="EX17" s="224">
        <v>0</v>
      </c>
      <c r="EY17" s="224">
        <v>0</v>
      </c>
      <c r="EZ17" s="224">
        <v>0</v>
      </c>
      <c r="FA17" s="224">
        <v>0</v>
      </c>
      <c r="FB17" s="224">
        <v>0</v>
      </c>
      <c r="FC17" s="224">
        <v>0</v>
      </c>
      <c r="FD17" s="224">
        <v>0</v>
      </c>
      <c r="FE17" s="224">
        <v>0</v>
      </c>
      <c r="FF17" s="224">
        <v>0</v>
      </c>
      <c r="FG17" s="224">
        <v>0</v>
      </c>
    </row>
    <row r="18" spans="2:163" x14ac:dyDescent="0.25">
      <c r="B18" s="223" t="s">
        <v>400</v>
      </c>
      <c r="C18" s="223" t="s">
        <v>401</v>
      </c>
      <c r="D18" s="223" t="s">
        <v>402</v>
      </c>
      <c r="E18" s="223">
        <v>0</v>
      </c>
      <c r="F18" s="223" t="s">
        <v>415</v>
      </c>
      <c r="G18" s="223" t="s">
        <v>416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</v>
      </c>
      <c r="Q18" s="224">
        <v>0</v>
      </c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0</v>
      </c>
      <c r="AA18" s="224">
        <v>0</v>
      </c>
      <c r="AB18" s="224">
        <v>0</v>
      </c>
      <c r="AC18" s="224">
        <v>0</v>
      </c>
      <c r="AD18" s="224">
        <v>0</v>
      </c>
      <c r="AE18" s="224">
        <v>0</v>
      </c>
      <c r="AF18" s="224">
        <v>0</v>
      </c>
      <c r="AG18" s="224">
        <v>0</v>
      </c>
      <c r="AH18" s="224">
        <v>0</v>
      </c>
      <c r="AI18" s="224">
        <v>0</v>
      </c>
      <c r="AJ18" s="224">
        <v>0</v>
      </c>
      <c r="AK18" s="224">
        <v>0</v>
      </c>
      <c r="AL18" s="224">
        <v>0</v>
      </c>
      <c r="AM18" s="224">
        <v>0</v>
      </c>
      <c r="AN18" s="224">
        <v>0</v>
      </c>
      <c r="AO18" s="224">
        <v>0</v>
      </c>
      <c r="AP18" s="224">
        <v>0</v>
      </c>
      <c r="AQ18" s="224">
        <v>0</v>
      </c>
      <c r="AR18" s="224">
        <v>0</v>
      </c>
      <c r="AS18" s="224">
        <v>0</v>
      </c>
      <c r="AT18" s="224">
        <v>0</v>
      </c>
      <c r="AU18" s="224">
        <v>0</v>
      </c>
      <c r="AV18" s="224">
        <v>0</v>
      </c>
      <c r="AW18" s="224">
        <v>0</v>
      </c>
      <c r="AX18" s="224">
        <v>0</v>
      </c>
      <c r="AY18" s="224">
        <v>0</v>
      </c>
      <c r="AZ18" s="224">
        <v>0</v>
      </c>
      <c r="BA18" s="224">
        <v>0</v>
      </c>
      <c r="BB18" s="224">
        <v>0</v>
      </c>
      <c r="BC18" s="224">
        <v>0</v>
      </c>
      <c r="BD18" s="224">
        <v>0</v>
      </c>
      <c r="BE18" s="224">
        <v>0</v>
      </c>
      <c r="BF18" s="224">
        <v>0</v>
      </c>
      <c r="BG18" s="224">
        <v>0</v>
      </c>
      <c r="BH18" s="224">
        <v>0</v>
      </c>
      <c r="BI18" s="224">
        <v>0</v>
      </c>
      <c r="BJ18" s="224">
        <v>0</v>
      </c>
      <c r="BK18" s="224">
        <v>0</v>
      </c>
      <c r="BL18" s="224">
        <v>0</v>
      </c>
      <c r="BM18" s="224">
        <v>0</v>
      </c>
      <c r="BN18" s="224">
        <v>0</v>
      </c>
      <c r="BO18" s="224">
        <v>0</v>
      </c>
      <c r="BP18" s="224">
        <v>0</v>
      </c>
      <c r="BQ18" s="224">
        <v>0</v>
      </c>
      <c r="BR18" s="224">
        <v>0</v>
      </c>
      <c r="BS18" s="224">
        <v>0</v>
      </c>
      <c r="BT18" s="224">
        <v>0</v>
      </c>
      <c r="BU18" s="224">
        <v>0</v>
      </c>
      <c r="BV18" s="224">
        <v>0</v>
      </c>
      <c r="BW18" s="224">
        <v>0</v>
      </c>
      <c r="BX18" s="224">
        <v>0</v>
      </c>
      <c r="BY18" s="224">
        <v>0</v>
      </c>
      <c r="BZ18" s="224">
        <v>0</v>
      </c>
      <c r="CA18" s="224">
        <v>0</v>
      </c>
      <c r="CB18" s="224">
        <v>0</v>
      </c>
      <c r="CC18" s="224">
        <v>0</v>
      </c>
      <c r="CD18" s="224">
        <v>0</v>
      </c>
      <c r="CE18" s="224">
        <v>0</v>
      </c>
      <c r="CF18" s="224">
        <v>0</v>
      </c>
      <c r="CG18" s="224">
        <v>0</v>
      </c>
      <c r="CH18" s="224">
        <v>0</v>
      </c>
      <c r="CI18" s="224">
        <v>0</v>
      </c>
      <c r="CJ18" s="224">
        <v>0</v>
      </c>
      <c r="CK18" s="224">
        <v>0</v>
      </c>
      <c r="CL18" s="224">
        <v>0</v>
      </c>
      <c r="CM18" s="224">
        <v>0</v>
      </c>
      <c r="CN18" s="224">
        <v>0</v>
      </c>
      <c r="CO18" s="224">
        <v>0</v>
      </c>
      <c r="CP18" s="224">
        <v>0</v>
      </c>
      <c r="CQ18" s="224">
        <v>0</v>
      </c>
      <c r="CR18" s="224">
        <v>0</v>
      </c>
      <c r="CS18" s="224">
        <v>0</v>
      </c>
      <c r="CT18" s="224">
        <v>0</v>
      </c>
      <c r="CU18" s="224">
        <v>0</v>
      </c>
      <c r="CV18" s="224">
        <v>0</v>
      </c>
      <c r="CW18" s="224">
        <v>0</v>
      </c>
      <c r="CX18" s="224">
        <v>0</v>
      </c>
      <c r="CY18" s="224">
        <v>0</v>
      </c>
      <c r="CZ18" s="224">
        <v>0</v>
      </c>
      <c r="DA18" s="224">
        <v>0</v>
      </c>
      <c r="DB18" s="224">
        <v>0</v>
      </c>
      <c r="DC18" s="224">
        <v>0</v>
      </c>
      <c r="DD18" s="224">
        <v>0</v>
      </c>
      <c r="DE18" s="224">
        <v>0</v>
      </c>
      <c r="DF18" s="224">
        <v>0</v>
      </c>
      <c r="DG18" s="224">
        <v>0</v>
      </c>
      <c r="DH18" s="224">
        <v>0</v>
      </c>
      <c r="DI18" s="224">
        <v>0</v>
      </c>
      <c r="DJ18" s="224">
        <v>0</v>
      </c>
      <c r="DK18" s="224">
        <v>0</v>
      </c>
      <c r="DL18" s="224">
        <v>0</v>
      </c>
      <c r="DM18" s="224">
        <v>0</v>
      </c>
      <c r="DN18" s="224">
        <v>0</v>
      </c>
      <c r="DO18" s="224">
        <v>0</v>
      </c>
      <c r="DP18" s="224">
        <v>0</v>
      </c>
      <c r="DQ18" s="224">
        <v>0</v>
      </c>
      <c r="DR18" s="224">
        <v>0</v>
      </c>
      <c r="DS18" s="224">
        <v>0</v>
      </c>
      <c r="DT18" s="224">
        <v>0</v>
      </c>
      <c r="DU18" s="224">
        <v>0</v>
      </c>
      <c r="DV18" s="224">
        <v>0</v>
      </c>
      <c r="DW18" s="224">
        <v>0</v>
      </c>
      <c r="DX18" s="224">
        <v>0</v>
      </c>
      <c r="DY18" s="224">
        <v>0</v>
      </c>
      <c r="DZ18" s="224">
        <v>0</v>
      </c>
      <c r="EA18" s="224">
        <v>0</v>
      </c>
      <c r="EB18" s="224">
        <v>0</v>
      </c>
      <c r="EC18" s="224">
        <v>0</v>
      </c>
      <c r="ED18" s="224">
        <v>0</v>
      </c>
      <c r="EE18" s="224">
        <v>0</v>
      </c>
      <c r="EF18" s="224">
        <v>0</v>
      </c>
      <c r="EG18" s="224">
        <v>0</v>
      </c>
      <c r="EH18" s="224">
        <v>0</v>
      </c>
      <c r="EI18" s="224">
        <v>0</v>
      </c>
      <c r="EJ18" s="224">
        <v>0</v>
      </c>
      <c r="EK18" s="224">
        <v>0</v>
      </c>
      <c r="EL18" s="224">
        <v>0</v>
      </c>
      <c r="EM18" s="224">
        <v>0</v>
      </c>
      <c r="EN18" s="224">
        <v>0</v>
      </c>
      <c r="EO18" s="224">
        <v>0</v>
      </c>
      <c r="EP18" s="224">
        <v>0</v>
      </c>
      <c r="EQ18" s="224">
        <v>0</v>
      </c>
      <c r="ER18" s="224">
        <v>0</v>
      </c>
      <c r="ES18" s="224">
        <v>0</v>
      </c>
      <c r="ET18" s="224">
        <v>0</v>
      </c>
      <c r="EU18" s="224">
        <v>0</v>
      </c>
      <c r="EV18" s="224">
        <v>0</v>
      </c>
      <c r="EW18" s="224">
        <v>0</v>
      </c>
      <c r="EX18" s="224">
        <v>0</v>
      </c>
      <c r="EY18" s="224">
        <v>0</v>
      </c>
      <c r="EZ18" s="224">
        <v>0</v>
      </c>
      <c r="FA18" s="224">
        <v>0</v>
      </c>
      <c r="FB18" s="224">
        <v>0</v>
      </c>
      <c r="FC18" s="224">
        <v>0</v>
      </c>
      <c r="FD18" s="224">
        <v>0</v>
      </c>
      <c r="FE18" s="224">
        <v>0</v>
      </c>
      <c r="FF18" s="224">
        <v>0</v>
      </c>
      <c r="FG18" s="224">
        <v>0</v>
      </c>
    </row>
    <row r="19" spans="2:163" x14ac:dyDescent="0.25">
      <c r="B19" s="223" t="s">
        <v>400</v>
      </c>
      <c r="C19" s="223" t="s">
        <v>417</v>
      </c>
      <c r="D19" s="223" t="s">
        <v>418</v>
      </c>
      <c r="E19" s="223">
        <v>0</v>
      </c>
      <c r="F19" s="223" t="s">
        <v>419</v>
      </c>
      <c r="G19" s="223" t="s">
        <v>419</v>
      </c>
      <c r="H19" s="224">
        <v>55645.212802744092</v>
      </c>
      <c r="I19" s="224">
        <v>110363.00539210912</v>
      </c>
      <c r="J19" s="224">
        <v>164153.37776809509</v>
      </c>
      <c r="K19" s="224">
        <v>217016.32993070196</v>
      </c>
      <c r="L19" s="224">
        <v>268951.86187992978</v>
      </c>
      <c r="M19" s="224">
        <v>319959.97361577855</v>
      </c>
      <c r="N19" s="224">
        <v>370040.66513824818</v>
      </c>
      <c r="O19" s="224">
        <v>419193.93644733878</v>
      </c>
      <c r="P19" s="224">
        <v>467419.78754305036</v>
      </c>
      <c r="Q19" s="224">
        <v>514718.21842538286</v>
      </c>
      <c r="R19" s="224">
        <v>561089.22909433628</v>
      </c>
      <c r="S19" s="224">
        <v>606532.81954991061</v>
      </c>
      <c r="T19" s="224">
        <v>716346.94359124429</v>
      </c>
      <c r="U19" s="224">
        <v>824145.34818921331</v>
      </c>
      <c r="V19" s="224">
        <v>929928.03334381757</v>
      </c>
      <c r="W19" s="224">
        <v>1033694.9990550572</v>
      </c>
      <c r="X19" s="224">
        <v>1135446.2453229323</v>
      </c>
      <c r="Y19" s="224">
        <v>1235181.7721474424</v>
      </c>
      <c r="Z19" s="224">
        <v>1332901.5795285879</v>
      </c>
      <c r="AA19" s="224">
        <v>1428605.6674663685</v>
      </c>
      <c r="AB19" s="224">
        <v>1522294.0359607846</v>
      </c>
      <c r="AC19" s="224">
        <v>1613966.685011836</v>
      </c>
      <c r="AD19" s="224">
        <v>1703623.6146195226</v>
      </c>
      <c r="AE19" s="224">
        <v>1791264.8247838444</v>
      </c>
      <c r="AF19" s="224">
        <v>1878593.7403865184</v>
      </c>
      <c r="AG19" s="224">
        <v>1963878.5461311324</v>
      </c>
      <c r="AH19" s="224">
        <v>2047119.2420176864</v>
      </c>
      <c r="AI19" s="224">
        <v>2128315.8280461803</v>
      </c>
      <c r="AJ19" s="224">
        <v>2207468.304216614</v>
      </c>
      <c r="AK19" s="224">
        <v>2284576.6705289879</v>
      </c>
      <c r="AL19" s="224">
        <v>2359640.9269833015</v>
      </c>
      <c r="AM19" s="224">
        <v>2432661.0735795554</v>
      </c>
      <c r="AN19" s="224">
        <v>2503637.1103177494</v>
      </c>
      <c r="AO19" s="224">
        <v>2572569.0371978832</v>
      </c>
      <c r="AP19" s="224">
        <v>2639456.8542199573</v>
      </c>
      <c r="AQ19" s="224">
        <v>2704300.561383971</v>
      </c>
      <c r="AR19" s="224">
        <v>2644453.5672063259</v>
      </c>
      <c r="AS19" s="224">
        <v>2584606.5730286809</v>
      </c>
      <c r="AT19" s="224">
        <v>2524759.5788510358</v>
      </c>
      <c r="AU19" s="224">
        <v>2464912.5846733907</v>
      </c>
      <c r="AV19" s="224">
        <v>2405065.5904957457</v>
      </c>
      <c r="AW19" s="224">
        <v>2345218.5963181006</v>
      </c>
      <c r="AX19" s="224">
        <v>2285371.6021404555</v>
      </c>
      <c r="AY19" s="224">
        <v>2225524.6079628104</v>
      </c>
      <c r="AZ19" s="224">
        <v>2165677.6137851654</v>
      </c>
      <c r="BA19" s="224">
        <v>2105830.6196075203</v>
      </c>
      <c r="BB19" s="224">
        <v>2045983.6254298752</v>
      </c>
      <c r="BC19" s="224">
        <v>1986136.6312522301</v>
      </c>
      <c r="BD19" s="224">
        <v>1926289.6370745851</v>
      </c>
      <c r="BE19" s="224">
        <v>1866442.64289694</v>
      </c>
      <c r="BF19" s="224">
        <v>1806595.6487192949</v>
      </c>
      <c r="BG19" s="224">
        <v>1746748.6545416499</v>
      </c>
      <c r="BH19" s="224">
        <v>1686901.6603640048</v>
      </c>
      <c r="BI19" s="224">
        <v>1627054.6661863597</v>
      </c>
      <c r="BJ19" s="224">
        <v>1567207.6720087146</v>
      </c>
      <c r="BK19" s="224">
        <v>1507360.6778310696</v>
      </c>
      <c r="BL19" s="224">
        <v>1447513.6836534245</v>
      </c>
      <c r="BM19" s="224">
        <v>1387666.6894757794</v>
      </c>
      <c r="BN19" s="224">
        <v>1327819.6952981343</v>
      </c>
      <c r="BO19" s="224">
        <v>1267972.7011204893</v>
      </c>
      <c r="BP19" s="224">
        <v>1208125.7069428442</v>
      </c>
      <c r="BQ19" s="224">
        <v>1149206.1329785781</v>
      </c>
      <c r="BR19" s="224">
        <v>1091213.9792276912</v>
      </c>
      <c r="BS19" s="224">
        <v>1034149.2456901832</v>
      </c>
      <c r="BT19" s="224">
        <v>978011.93236605439</v>
      </c>
      <c r="BU19" s="224">
        <v>922802.03925530461</v>
      </c>
      <c r="BV19" s="224">
        <v>868519.56635793392</v>
      </c>
      <c r="BW19" s="224">
        <v>815164.5136739423</v>
      </c>
      <c r="BX19" s="224">
        <v>762736.88120332966</v>
      </c>
      <c r="BY19" s="224">
        <v>711236.66894609609</v>
      </c>
      <c r="BZ19" s="224">
        <v>660663.87690224161</v>
      </c>
      <c r="CA19" s="224">
        <v>611018.50507176621</v>
      </c>
      <c r="CB19" s="224">
        <v>562300.55345466989</v>
      </c>
      <c r="CC19" s="224">
        <v>515598.32128093822</v>
      </c>
      <c r="CD19" s="224">
        <v>470911.80855057132</v>
      </c>
      <c r="CE19" s="224">
        <v>428241.01526356908</v>
      </c>
      <c r="CF19" s="224">
        <v>387585.94141993154</v>
      </c>
      <c r="CG19" s="224">
        <v>348946.58701965871</v>
      </c>
      <c r="CH19" s="224">
        <v>312322.95206275058</v>
      </c>
      <c r="CI19" s="224">
        <v>277715.03654920717</v>
      </c>
      <c r="CJ19" s="224">
        <v>245122.84047902847</v>
      </c>
      <c r="CK19" s="224">
        <v>214546.36385221448</v>
      </c>
      <c r="CL19" s="224">
        <v>185985.60666876519</v>
      </c>
      <c r="CM19" s="224">
        <v>159440.56892868062</v>
      </c>
      <c r="CN19" s="224">
        <v>134911.25063196075</v>
      </c>
      <c r="CO19" s="224">
        <v>112426.04219330089</v>
      </c>
      <c r="CP19" s="224">
        <v>91984.943612701012</v>
      </c>
      <c r="CQ19" s="224">
        <v>73587.954890161127</v>
      </c>
      <c r="CR19" s="224">
        <v>57235.076025681228</v>
      </c>
      <c r="CS19" s="224">
        <v>42926.307019261316</v>
      </c>
      <c r="CT19" s="224">
        <v>30661.64787090139</v>
      </c>
      <c r="CU19" s="224">
        <v>20441.098580601454</v>
      </c>
      <c r="CV19" s="224">
        <v>12264.659148361507</v>
      </c>
      <c r="CW19" s="224">
        <v>6132.3295741815455</v>
      </c>
      <c r="CX19" s="224">
        <v>2044.1098580615717</v>
      </c>
      <c r="CY19" s="224">
        <v>1.5847945178393275E-9</v>
      </c>
      <c r="CZ19" s="224">
        <v>1.5847945178393275E-9</v>
      </c>
      <c r="DA19" s="224">
        <v>1.5847945178393275E-9</v>
      </c>
      <c r="DB19" s="224">
        <v>1.5847945178393275E-9</v>
      </c>
      <c r="DC19" s="224">
        <v>1.5847945178393275E-9</v>
      </c>
      <c r="DD19" s="224">
        <v>1.5847945178393275E-9</v>
      </c>
      <c r="DE19" s="224">
        <v>1.5847945178393275E-9</v>
      </c>
      <c r="DF19" s="224">
        <v>1.5847945178393275E-9</v>
      </c>
      <c r="DG19" s="224">
        <v>1.5847945178393275E-9</v>
      </c>
      <c r="DH19" s="224">
        <v>1.5847945178393275E-9</v>
      </c>
      <c r="DI19" s="224">
        <v>1.5847945178393275E-9</v>
      </c>
      <c r="DJ19" s="224">
        <v>1.5847945178393275E-9</v>
      </c>
      <c r="DK19" s="224">
        <v>1.5847945178393275E-9</v>
      </c>
      <c r="DL19" s="224">
        <v>1.5847945178393275E-9</v>
      </c>
      <c r="DM19" s="224">
        <v>1.5847945178393275E-9</v>
      </c>
      <c r="DN19" s="224">
        <v>1.5847945178393275E-9</v>
      </c>
      <c r="DO19" s="224">
        <v>1.5847945178393275E-9</v>
      </c>
      <c r="DP19" s="224">
        <v>1.5847945178393275E-9</v>
      </c>
      <c r="DQ19" s="224">
        <v>1.5847945178393275E-9</v>
      </c>
      <c r="DR19" s="224">
        <v>1.5847945178393275E-9</v>
      </c>
      <c r="DS19" s="224">
        <v>1.5847945178393275E-9</v>
      </c>
      <c r="DT19" s="224">
        <v>1.5847945178393275E-9</v>
      </c>
      <c r="DU19" s="224">
        <v>1.5847945178393275E-9</v>
      </c>
      <c r="DV19" s="224">
        <v>1.5847945178393275E-9</v>
      </c>
      <c r="DW19" s="224">
        <v>1.5847945178393275E-9</v>
      </c>
      <c r="DX19" s="224">
        <v>1.5847945178393275E-9</v>
      </c>
      <c r="DY19" s="224">
        <v>1.5847945178393275E-9</v>
      </c>
      <c r="DZ19" s="224">
        <v>1.5847945178393275E-9</v>
      </c>
      <c r="EA19" s="224">
        <v>1.5847945178393275E-9</v>
      </c>
      <c r="EB19" s="224">
        <v>1.5847945178393275E-9</v>
      </c>
      <c r="EC19" s="224">
        <v>1.5847945178393275E-9</v>
      </c>
      <c r="ED19" s="224">
        <v>1.5847945178393275E-9</v>
      </c>
      <c r="EE19" s="224">
        <v>1.5847945178393275E-9</v>
      </c>
      <c r="EF19" s="224">
        <v>1.5847945178393275E-9</v>
      </c>
      <c r="EG19" s="224">
        <v>1.5847945178393275E-9</v>
      </c>
      <c r="EH19" s="224">
        <v>1.5847945178393275E-9</v>
      </c>
      <c r="EI19" s="224">
        <v>1.5847945178393275E-9</v>
      </c>
      <c r="EJ19" s="224">
        <v>1.5847945178393275E-9</v>
      </c>
      <c r="EK19" s="224">
        <v>1.5847945178393275E-9</v>
      </c>
      <c r="EL19" s="224">
        <v>1.5847945178393275E-9</v>
      </c>
      <c r="EM19" s="224">
        <v>1.5847945178393275E-9</v>
      </c>
      <c r="EN19" s="224">
        <v>1.5847945178393275E-9</v>
      </c>
      <c r="EO19" s="224">
        <v>1.5847945178393275E-9</v>
      </c>
      <c r="EP19" s="224">
        <v>1.5847945178393275E-9</v>
      </c>
      <c r="EQ19" s="224">
        <v>1.5847945178393275E-9</v>
      </c>
      <c r="ER19" s="224">
        <v>1.5847945178393275E-9</v>
      </c>
      <c r="ES19" s="224">
        <v>1.5847945178393275E-9</v>
      </c>
      <c r="ET19" s="224">
        <v>1.5847945178393275E-9</v>
      </c>
      <c r="EU19" s="224">
        <v>1.5847945178393275E-9</v>
      </c>
      <c r="EV19" s="224">
        <v>1.5847945178393275E-9</v>
      </c>
      <c r="EW19" s="224">
        <v>1.5847945178393275E-9</v>
      </c>
      <c r="EX19" s="224">
        <v>1.5847945178393275E-9</v>
      </c>
      <c r="EY19" s="224">
        <v>1.5847945178393275E-9</v>
      </c>
      <c r="EZ19" s="224">
        <v>1.5847945178393275E-9</v>
      </c>
      <c r="FA19" s="224">
        <v>1.5847945178393275E-9</v>
      </c>
      <c r="FB19" s="224">
        <v>1.5847945178393275E-9</v>
      </c>
      <c r="FC19" s="224">
        <v>1.5847945178393275E-9</v>
      </c>
      <c r="FD19" s="224">
        <v>1.5847945178393275E-9</v>
      </c>
      <c r="FE19" s="224">
        <v>1.5847945178393275E-9</v>
      </c>
      <c r="FF19" s="224">
        <v>1.5847945178393275E-9</v>
      </c>
      <c r="FG19" s="224">
        <v>1.5847945178393275E-9</v>
      </c>
    </row>
    <row r="20" spans="2:163" x14ac:dyDescent="0.25">
      <c r="B20" s="223" t="s">
        <v>400</v>
      </c>
      <c r="C20" s="223" t="s">
        <v>417</v>
      </c>
      <c r="D20" s="223" t="s">
        <v>418</v>
      </c>
      <c r="E20" s="223">
        <v>0</v>
      </c>
      <c r="F20" s="223" t="s">
        <v>419</v>
      </c>
      <c r="G20" s="223" t="s">
        <v>420</v>
      </c>
      <c r="H20" s="224">
        <v>16090.055024222222</v>
      </c>
      <c r="I20" s="224">
        <v>31911.942464707405</v>
      </c>
      <c r="J20" s="224">
        <v>47465.662321455551</v>
      </c>
      <c r="K20" s="224">
        <v>62751.214594466663</v>
      </c>
      <c r="L20" s="224">
        <v>77768.599283740725</v>
      </c>
      <c r="M20" s="224">
        <v>92517.816389277767</v>
      </c>
      <c r="N20" s="224">
        <v>106998.86591107777</v>
      </c>
      <c r="O20" s="224">
        <v>121211.74784914072</v>
      </c>
      <c r="P20" s="224">
        <v>135156.46220346662</v>
      </c>
      <c r="Q20" s="224">
        <v>148833.0089740555</v>
      </c>
      <c r="R20" s="224">
        <v>162241.38816090734</v>
      </c>
      <c r="S20" s="224">
        <v>175381.59976402213</v>
      </c>
      <c r="T20" s="224">
        <v>204343.69880762213</v>
      </c>
      <c r="U20" s="224">
        <v>232769.46268374805</v>
      </c>
      <c r="V20" s="224">
        <v>260658.89139239988</v>
      </c>
      <c r="W20" s="224">
        <v>288011.98493357765</v>
      </c>
      <c r="X20" s="224">
        <v>314828.74330728134</v>
      </c>
      <c r="Y20" s="224">
        <v>341109.16651351092</v>
      </c>
      <c r="Z20" s="224">
        <v>366853.25455226644</v>
      </c>
      <c r="AA20" s="224">
        <v>392061.00742354791</v>
      </c>
      <c r="AB20" s="224">
        <v>416732.42512735532</v>
      </c>
      <c r="AC20" s="224">
        <v>440867.50766368862</v>
      </c>
      <c r="AD20" s="224">
        <v>464466.25503254787</v>
      </c>
      <c r="AE20" s="224">
        <v>487528.66723393305</v>
      </c>
      <c r="AF20" s="224">
        <v>510054.74426784413</v>
      </c>
      <c r="AG20" s="224">
        <v>532044.48613428115</v>
      </c>
      <c r="AH20" s="224">
        <v>553497.89283324417</v>
      </c>
      <c r="AI20" s="224">
        <v>574414.96436473308</v>
      </c>
      <c r="AJ20" s="224">
        <v>594795.70072874788</v>
      </c>
      <c r="AK20" s="224">
        <v>614640.10192528868</v>
      </c>
      <c r="AL20" s="224">
        <v>633948.16795435536</v>
      </c>
      <c r="AM20" s="224">
        <v>652719.89881594793</v>
      </c>
      <c r="AN20" s="224">
        <v>670955.29451006651</v>
      </c>
      <c r="AO20" s="224">
        <v>688654.35503671097</v>
      </c>
      <c r="AP20" s="224">
        <v>705817.08039588132</v>
      </c>
      <c r="AQ20" s="224">
        <v>722443.47058757767</v>
      </c>
      <c r="AR20" s="224">
        <v>706353.41556335543</v>
      </c>
      <c r="AS20" s="224">
        <v>690263.36053913319</v>
      </c>
      <c r="AT20" s="224">
        <v>674173.30551491096</v>
      </c>
      <c r="AU20" s="224">
        <v>658083.25049068872</v>
      </c>
      <c r="AV20" s="224">
        <v>641993.19546646648</v>
      </c>
      <c r="AW20" s="224">
        <v>625903.14044224424</v>
      </c>
      <c r="AX20" s="224">
        <v>609813.085418022</v>
      </c>
      <c r="AY20" s="224">
        <v>593723.03039379977</v>
      </c>
      <c r="AZ20" s="224">
        <v>577632.97536957753</v>
      </c>
      <c r="BA20" s="224">
        <v>561542.92034535529</v>
      </c>
      <c r="BB20" s="224">
        <v>545452.86532113305</v>
      </c>
      <c r="BC20" s="224">
        <v>529362.81029691081</v>
      </c>
      <c r="BD20" s="224">
        <v>513272.75527268858</v>
      </c>
      <c r="BE20" s="224">
        <v>497182.70024846634</v>
      </c>
      <c r="BF20" s="224">
        <v>481092.6452242441</v>
      </c>
      <c r="BG20" s="224">
        <v>465002.59020002186</v>
      </c>
      <c r="BH20" s="224">
        <v>448912.53517579962</v>
      </c>
      <c r="BI20" s="224">
        <v>432822.48015157739</v>
      </c>
      <c r="BJ20" s="224">
        <v>416732.42512735515</v>
      </c>
      <c r="BK20" s="224">
        <v>400642.37010313291</v>
      </c>
      <c r="BL20" s="224">
        <v>384552.31507891067</v>
      </c>
      <c r="BM20" s="224">
        <v>368462.26005468844</v>
      </c>
      <c r="BN20" s="224">
        <v>352372.2050304662</v>
      </c>
      <c r="BO20" s="224">
        <v>336282.15000624396</v>
      </c>
      <c r="BP20" s="224">
        <v>320192.09498202172</v>
      </c>
      <c r="BQ20" s="224">
        <v>304370.20754153654</v>
      </c>
      <c r="BR20" s="224">
        <v>288816.48768478842</v>
      </c>
      <c r="BS20" s="224">
        <v>273530.93541177729</v>
      </c>
      <c r="BT20" s="224">
        <v>258513.55072250322</v>
      </c>
      <c r="BU20" s="224">
        <v>243764.33361696618</v>
      </c>
      <c r="BV20" s="224">
        <v>229283.28409516616</v>
      </c>
      <c r="BW20" s="224">
        <v>215070.40215710321</v>
      </c>
      <c r="BX20" s="224">
        <v>201125.68780277728</v>
      </c>
      <c r="BY20" s="224">
        <v>187449.14103218837</v>
      </c>
      <c r="BZ20" s="224">
        <v>174040.76184533653</v>
      </c>
      <c r="CA20" s="224">
        <v>160900.55024222171</v>
      </c>
      <c r="CB20" s="224">
        <v>148028.50622284392</v>
      </c>
      <c r="CC20" s="224">
        <v>135692.79737094021</v>
      </c>
      <c r="CD20" s="224">
        <v>123893.42368651059</v>
      </c>
      <c r="CE20" s="224">
        <v>112630.38516955504</v>
      </c>
      <c r="CF20" s="224">
        <v>101903.68182007356</v>
      </c>
      <c r="CG20" s="224">
        <v>91713.313638066145</v>
      </c>
      <c r="CH20" s="224">
        <v>82059.280623532817</v>
      </c>
      <c r="CI20" s="224">
        <v>72941.582776473559</v>
      </c>
      <c r="CJ20" s="224">
        <v>64360.220096888377</v>
      </c>
      <c r="CK20" s="224">
        <v>56315.192584777265</v>
      </c>
      <c r="CL20" s="224">
        <v>48806.500240140231</v>
      </c>
      <c r="CM20" s="224">
        <v>41834.143062977266</v>
      </c>
      <c r="CN20" s="224">
        <v>35398.121053288378</v>
      </c>
      <c r="CO20" s="224">
        <v>29498.434211073563</v>
      </c>
      <c r="CP20" s="224">
        <v>24135.082536332822</v>
      </c>
      <c r="CQ20" s="224">
        <v>19308.066029066154</v>
      </c>
      <c r="CR20" s="224">
        <v>15017.384689273562</v>
      </c>
      <c r="CS20" s="224">
        <v>11263.038516955043</v>
      </c>
      <c r="CT20" s="224">
        <v>8045.0275121105988</v>
      </c>
      <c r="CU20" s="224">
        <v>5363.3516747402282</v>
      </c>
      <c r="CV20" s="224">
        <v>3218.0110048439319</v>
      </c>
      <c r="CW20" s="224">
        <v>1609.0055024217097</v>
      </c>
      <c r="CX20" s="224">
        <v>536.33516747356157</v>
      </c>
      <c r="CY20" s="224">
        <v>-5.1250026444904506E-10</v>
      </c>
      <c r="CZ20" s="224">
        <v>-5.1250026444904506E-10</v>
      </c>
      <c r="DA20" s="224">
        <v>-5.1250026444904506E-10</v>
      </c>
      <c r="DB20" s="224">
        <v>-5.1250026444904506E-10</v>
      </c>
      <c r="DC20" s="224">
        <v>-5.1250026444904506E-10</v>
      </c>
      <c r="DD20" s="224">
        <v>-5.1250026444904506E-10</v>
      </c>
      <c r="DE20" s="224">
        <v>-5.1250026444904506E-10</v>
      </c>
      <c r="DF20" s="224">
        <v>-5.1250026444904506E-10</v>
      </c>
      <c r="DG20" s="224">
        <v>-5.1250026444904506E-10</v>
      </c>
      <c r="DH20" s="224">
        <v>-5.1250026444904506E-10</v>
      </c>
      <c r="DI20" s="224">
        <v>-5.1250026444904506E-10</v>
      </c>
      <c r="DJ20" s="224">
        <v>-5.1250026444904506E-10</v>
      </c>
      <c r="DK20" s="224">
        <v>-5.1250026444904506E-10</v>
      </c>
      <c r="DL20" s="224">
        <v>-5.1250026444904506E-10</v>
      </c>
      <c r="DM20" s="224">
        <v>-5.1250026444904506E-10</v>
      </c>
      <c r="DN20" s="224">
        <v>-5.1250026444904506E-10</v>
      </c>
      <c r="DO20" s="224">
        <v>-5.1250026444904506E-10</v>
      </c>
      <c r="DP20" s="224">
        <v>-5.1250026444904506E-10</v>
      </c>
      <c r="DQ20" s="224">
        <v>-5.1250026444904506E-10</v>
      </c>
      <c r="DR20" s="224">
        <v>-5.1250026444904506E-10</v>
      </c>
      <c r="DS20" s="224">
        <v>-5.1250026444904506E-10</v>
      </c>
      <c r="DT20" s="224">
        <v>-5.1250026444904506E-10</v>
      </c>
      <c r="DU20" s="224">
        <v>-5.1250026444904506E-10</v>
      </c>
      <c r="DV20" s="224">
        <v>-5.1250026444904506E-10</v>
      </c>
      <c r="DW20" s="224">
        <v>-5.1250026444904506E-10</v>
      </c>
      <c r="DX20" s="224">
        <v>-5.1250026444904506E-10</v>
      </c>
      <c r="DY20" s="224">
        <v>-5.1250026444904506E-10</v>
      </c>
      <c r="DZ20" s="224">
        <v>-5.1250026444904506E-10</v>
      </c>
      <c r="EA20" s="224">
        <v>-5.1250026444904506E-10</v>
      </c>
      <c r="EB20" s="224">
        <v>-5.1250026444904506E-10</v>
      </c>
      <c r="EC20" s="224">
        <v>-5.1250026444904506E-10</v>
      </c>
      <c r="ED20" s="224">
        <v>-5.1250026444904506E-10</v>
      </c>
      <c r="EE20" s="224">
        <v>-5.1250026444904506E-10</v>
      </c>
      <c r="EF20" s="224">
        <v>-5.1250026444904506E-10</v>
      </c>
      <c r="EG20" s="224">
        <v>-5.1250026444904506E-10</v>
      </c>
      <c r="EH20" s="224">
        <v>-5.1250026444904506E-10</v>
      </c>
      <c r="EI20" s="224">
        <v>-5.1250026444904506E-10</v>
      </c>
      <c r="EJ20" s="224">
        <v>-5.1250026444904506E-10</v>
      </c>
      <c r="EK20" s="224">
        <v>-5.1250026444904506E-10</v>
      </c>
      <c r="EL20" s="224">
        <v>-5.1250026444904506E-10</v>
      </c>
      <c r="EM20" s="224">
        <v>-5.1250026444904506E-10</v>
      </c>
      <c r="EN20" s="224">
        <v>-5.1250026444904506E-10</v>
      </c>
      <c r="EO20" s="224">
        <v>-5.1250026444904506E-10</v>
      </c>
      <c r="EP20" s="224">
        <v>-5.1250026444904506E-10</v>
      </c>
      <c r="EQ20" s="224">
        <v>-5.1250026444904506E-10</v>
      </c>
      <c r="ER20" s="224">
        <v>-5.1250026444904506E-10</v>
      </c>
      <c r="ES20" s="224">
        <v>-5.1250026444904506E-10</v>
      </c>
      <c r="ET20" s="224">
        <v>-5.1250026444904506E-10</v>
      </c>
      <c r="EU20" s="224">
        <v>-5.1250026444904506E-10</v>
      </c>
      <c r="EV20" s="224">
        <v>-5.1250026444904506E-10</v>
      </c>
      <c r="EW20" s="224">
        <v>-5.1250026444904506E-10</v>
      </c>
      <c r="EX20" s="224">
        <v>-5.1250026444904506E-10</v>
      </c>
      <c r="EY20" s="224">
        <v>-5.1250026444904506E-10</v>
      </c>
      <c r="EZ20" s="224">
        <v>-5.1250026444904506E-10</v>
      </c>
      <c r="FA20" s="224">
        <v>-5.1250026444904506E-10</v>
      </c>
      <c r="FB20" s="224">
        <v>-5.1250026444904506E-10</v>
      </c>
      <c r="FC20" s="224">
        <v>-5.1250026444904506E-10</v>
      </c>
      <c r="FD20" s="224">
        <v>-5.1250026444904506E-10</v>
      </c>
      <c r="FE20" s="224">
        <v>-5.1250026444904506E-10</v>
      </c>
      <c r="FF20" s="224">
        <v>-5.1250026444904506E-10</v>
      </c>
      <c r="FG20" s="224">
        <v>-5.1250026444904506E-10</v>
      </c>
    </row>
    <row r="21" spans="2:163" x14ac:dyDescent="0.25">
      <c r="B21" s="223" t="s">
        <v>400</v>
      </c>
      <c r="C21" s="223" t="s">
        <v>421</v>
      </c>
      <c r="D21" s="223" t="s">
        <v>422</v>
      </c>
      <c r="E21" s="223">
        <v>0</v>
      </c>
      <c r="F21" s="223" t="s">
        <v>423</v>
      </c>
      <c r="G21" s="223" t="s">
        <v>424</v>
      </c>
      <c r="H21" s="224">
        <v>210769.36250000005</v>
      </c>
      <c r="I21" s="224">
        <v>418025.90229166677</v>
      </c>
      <c r="J21" s="224">
        <v>621769.61937500013</v>
      </c>
      <c r="K21" s="224">
        <v>822000.51375000016</v>
      </c>
      <c r="L21" s="224">
        <v>1018718.5854166668</v>
      </c>
      <c r="M21" s="224">
        <v>1211923.8343750003</v>
      </c>
      <c r="N21" s="224">
        <v>1401616.2606250003</v>
      </c>
      <c r="O21" s="224">
        <v>1587795.864166667</v>
      </c>
      <c r="P21" s="224">
        <v>1770462.6450000003</v>
      </c>
      <c r="Q21" s="224">
        <v>1949616.6031250004</v>
      </c>
      <c r="R21" s="224">
        <v>2125257.7385416669</v>
      </c>
      <c r="S21" s="224">
        <v>2297386.0512500005</v>
      </c>
      <c r="T21" s="224">
        <v>2782149.134583334</v>
      </c>
      <c r="U21" s="224">
        <v>3258130.2686527786</v>
      </c>
      <c r="V21" s="224">
        <v>3725329.4534583343</v>
      </c>
      <c r="W21" s="224">
        <v>4183746.6890000012</v>
      </c>
      <c r="X21" s="224">
        <v>4633381.9752777787</v>
      </c>
      <c r="Y21" s="224">
        <v>5074235.3122916678</v>
      </c>
      <c r="Z21" s="224">
        <v>5506306.7000416676</v>
      </c>
      <c r="AA21" s="224">
        <v>5929596.1385277789</v>
      </c>
      <c r="AB21" s="224">
        <v>6344103.6277500009</v>
      </c>
      <c r="AC21" s="224">
        <v>6749829.1677083345</v>
      </c>
      <c r="AD21" s="224">
        <v>7146772.7584027788</v>
      </c>
      <c r="AE21" s="224">
        <v>7534934.3998333346</v>
      </c>
      <c r="AF21" s="224">
        <v>7920466.0770000014</v>
      </c>
      <c r="AG21" s="224">
        <v>8297113.2718194462</v>
      </c>
      <c r="AH21" s="224">
        <v>8664875.984291669</v>
      </c>
      <c r="AI21" s="224">
        <v>9023754.2144166697</v>
      </c>
      <c r="AJ21" s="224">
        <v>9373747.9621944483</v>
      </c>
      <c r="AK21" s="224">
        <v>9714857.2276250049</v>
      </c>
      <c r="AL21" s="224">
        <v>10047082.01070834</v>
      </c>
      <c r="AM21" s="224">
        <v>10370422.31144445</v>
      </c>
      <c r="AN21" s="224">
        <v>10684878.129833339</v>
      </c>
      <c r="AO21" s="224">
        <v>10990449.465875005</v>
      </c>
      <c r="AP21" s="224">
        <v>11287136.31956945</v>
      </c>
      <c r="AQ21" s="224">
        <v>11574938.690916672</v>
      </c>
      <c r="AR21" s="224">
        <v>11320787.639083339</v>
      </c>
      <c r="AS21" s="224">
        <v>11066636.587250005</v>
      </c>
      <c r="AT21" s="224">
        <v>10812485.535416672</v>
      </c>
      <c r="AU21" s="224">
        <v>10558334.483583339</v>
      </c>
      <c r="AV21" s="224">
        <v>10304183.431750005</v>
      </c>
      <c r="AW21" s="224">
        <v>10050032.379916672</v>
      </c>
      <c r="AX21" s="224">
        <v>9795881.3280833382</v>
      </c>
      <c r="AY21" s="224">
        <v>9541730.2762500048</v>
      </c>
      <c r="AZ21" s="224">
        <v>9287579.2244166713</v>
      </c>
      <c r="BA21" s="224">
        <v>9033428.1725833379</v>
      </c>
      <c r="BB21" s="224">
        <v>8779277.1207500044</v>
      </c>
      <c r="BC21" s="224">
        <v>8525126.068916671</v>
      </c>
      <c r="BD21" s="224">
        <v>8270975.0170833375</v>
      </c>
      <c r="BE21" s="224">
        <v>8016823.9652500041</v>
      </c>
      <c r="BF21" s="224">
        <v>7762672.9134166706</v>
      </c>
      <c r="BG21" s="224">
        <v>7508521.8615833372</v>
      </c>
      <c r="BH21" s="224">
        <v>7254370.8097500037</v>
      </c>
      <c r="BI21" s="224">
        <v>7000219.7579166703</v>
      </c>
      <c r="BJ21" s="224">
        <v>6746068.7060833368</v>
      </c>
      <c r="BK21" s="224">
        <v>6491917.6542500034</v>
      </c>
      <c r="BL21" s="224">
        <v>6237766.6024166699</v>
      </c>
      <c r="BM21" s="224">
        <v>5983615.5505833365</v>
      </c>
      <c r="BN21" s="224">
        <v>5729464.4987500031</v>
      </c>
      <c r="BO21" s="224">
        <v>5475313.4469166696</v>
      </c>
      <c r="BP21" s="224">
        <v>5221162.3950833362</v>
      </c>
      <c r="BQ21" s="224">
        <v>4970524.1659583356</v>
      </c>
      <c r="BR21" s="224">
        <v>4723398.7595416689</v>
      </c>
      <c r="BS21" s="224">
        <v>4479786.1758333351</v>
      </c>
      <c r="BT21" s="224">
        <v>4239686.4148333352</v>
      </c>
      <c r="BU21" s="224">
        <v>4003099.4765416682</v>
      </c>
      <c r="BV21" s="224">
        <v>3770025.3609583345</v>
      </c>
      <c r="BW21" s="224">
        <v>3540464.0680833342</v>
      </c>
      <c r="BX21" s="224">
        <v>3314415.5979166673</v>
      </c>
      <c r="BY21" s="224">
        <v>3091879.9504583338</v>
      </c>
      <c r="BZ21" s="224">
        <v>2872857.1257083337</v>
      </c>
      <c r="CA21" s="224">
        <v>2657347.1236666669</v>
      </c>
      <c r="CB21" s="224">
        <v>2445349.9443333335</v>
      </c>
      <c r="CC21" s="224">
        <v>2242134.714263889</v>
      </c>
      <c r="CD21" s="224">
        <v>2047701.4334583334</v>
      </c>
      <c r="CE21" s="224">
        <v>1862050.1019166666</v>
      </c>
      <c r="CF21" s="224">
        <v>1685180.7196388887</v>
      </c>
      <c r="CG21" s="224">
        <v>1517093.2866249997</v>
      </c>
      <c r="CH21" s="224">
        <v>1357787.8028749996</v>
      </c>
      <c r="CI21" s="224">
        <v>1207264.2683888883</v>
      </c>
      <c r="CJ21" s="224">
        <v>1065522.683166666</v>
      </c>
      <c r="CK21" s="224">
        <v>932563.04720833257</v>
      </c>
      <c r="CL21" s="224">
        <v>808385.36051388807</v>
      </c>
      <c r="CM21" s="224">
        <v>692989.62308333244</v>
      </c>
      <c r="CN21" s="224">
        <v>586375.83491666568</v>
      </c>
      <c r="CO21" s="224">
        <v>488646.52909722121</v>
      </c>
      <c r="CP21" s="224">
        <v>399801.70562499895</v>
      </c>
      <c r="CQ21" s="224">
        <v>319841.36449999892</v>
      </c>
      <c r="CR21" s="224">
        <v>248765.50572222113</v>
      </c>
      <c r="CS21" s="224">
        <v>186574.12929166557</v>
      </c>
      <c r="CT21" s="224">
        <v>133267.23520833222</v>
      </c>
      <c r="CU21" s="224">
        <v>88844.823472221091</v>
      </c>
      <c r="CV21" s="224">
        <v>53306.894083332198</v>
      </c>
      <c r="CW21" s="224">
        <v>26653.447041665528</v>
      </c>
      <c r="CX21" s="224">
        <v>8884.482347221081</v>
      </c>
      <c r="CY21" s="224">
        <v>-1.1423253454267979E-9</v>
      </c>
      <c r="CZ21" s="224">
        <v>-1.1423253454267979E-9</v>
      </c>
      <c r="DA21" s="224">
        <v>-1.1423253454267979E-9</v>
      </c>
      <c r="DB21" s="224">
        <v>-1.1423253454267979E-9</v>
      </c>
      <c r="DC21" s="224">
        <v>-1.1423253454267979E-9</v>
      </c>
      <c r="DD21" s="224">
        <v>-1.1423253454267979E-9</v>
      </c>
      <c r="DE21" s="224">
        <v>-1.1423253454267979E-9</v>
      </c>
      <c r="DF21" s="224">
        <v>-1.1423253454267979E-9</v>
      </c>
      <c r="DG21" s="224">
        <v>-1.1423253454267979E-9</v>
      </c>
      <c r="DH21" s="224">
        <v>-1.1423253454267979E-9</v>
      </c>
      <c r="DI21" s="224">
        <v>-1.1423253454267979E-9</v>
      </c>
      <c r="DJ21" s="224">
        <v>-1.1423253454267979E-9</v>
      </c>
      <c r="DK21" s="224">
        <v>-1.1423253454267979E-9</v>
      </c>
      <c r="DL21" s="224">
        <v>-1.1423253454267979E-9</v>
      </c>
      <c r="DM21" s="224">
        <v>-1.1423253454267979E-9</v>
      </c>
      <c r="DN21" s="224">
        <v>-1.1423253454267979E-9</v>
      </c>
      <c r="DO21" s="224">
        <v>-1.1423253454267979E-9</v>
      </c>
      <c r="DP21" s="224">
        <v>-1.1423253454267979E-9</v>
      </c>
      <c r="DQ21" s="224">
        <v>-1.1423253454267979E-9</v>
      </c>
      <c r="DR21" s="224">
        <v>-1.1423253454267979E-9</v>
      </c>
      <c r="DS21" s="224">
        <v>-1.1423253454267979E-9</v>
      </c>
      <c r="DT21" s="224">
        <v>-1.1423253454267979E-9</v>
      </c>
      <c r="DU21" s="224">
        <v>-1.1423253454267979E-9</v>
      </c>
      <c r="DV21" s="224">
        <v>-1.1423253454267979E-9</v>
      </c>
      <c r="DW21" s="224">
        <v>-1.1423253454267979E-9</v>
      </c>
      <c r="DX21" s="224">
        <v>-1.1423253454267979E-9</v>
      </c>
      <c r="DY21" s="224">
        <v>-1.1423253454267979E-9</v>
      </c>
      <c r="DZ21" s="224">
        <v>-1.1423253454267979E-9</v>
      </c>
      <c r="EA21" s="224">
        <v>-1.1423253454267979E-9</v>
      </c>
      <c r="EB21" s="224">
        <v>-1.1423253454267979E-9</v>
      </c>
      <c r="EC21" s="224">
        <v>-1.1423253454267979E-9</v>
      </c>
      <c r="ED21" s="224">
        <v>-1.1423253454267979E-9</v>
      </c>
      <c r="EE21" s="224">
        <v>-1.1423253454267979E-9</v>
      </c>
      <c r="EF21" s="224">
        <v>-1.1423253454267979E-9</v>
      </c>
      <c r="EG21" s="224">
        <v>-1.1423253454267979E-9</v>
      </c>
      <c r="EH21" s="224">
        <v>-1.1423253454267979E-9</v>
      </c>
      <c r="EI21" s="224">
        <v>-1.1423253454267979E-9</v>
      </c>
      <c r="EJ21" s="224">
        <v>-1.1423253454267979E-9</v>
      </c>
      <c r="EK21" s="224">
        <v>-1.1423253454267979E-9</v>
      </c>
      <c r="EL21" s="224">
        <v>-1.1423253454267979E-9</v>
      </c>
      <c r="EM21" s="224">
        <v>-1.1423253454267979E-9</v>
      </c>
      <c r="EN21" s="224">
        <v>-1.1423253454267979E-9</v>
      </c>
      <c r="EO21" s="224">
        <v>-1.1423253454267979E-9</v>
      </c>
      <c r="EP21" s="224">
        <v>-1.1423253454267979E-9</v>
      </c>
      <c r="EQ21" s="224">
        <v>-1.1423253454267979E-9</v>
      </c>
      <c r="ER21" s="224">
        <v>-1.1423253454267979E-9</v>
      </c>
      <c r="ES21" s="224">
        <v>-1.1423253454267979E-9</v>
      </c>
      <c r="ET21" s="224">
        <v>-1.1423253454267979E-9</v>
      </c>
      <c r="EU21" s="224">
        <v>-1.1423253454267979E-9</v>
      </c>
      <c r="EV21" s="224">
        <v>-1.1423253454267979E-9</v>
      </c>
      <c r="EW21" s="224">
        <v>-1.1423253454267979E-9</v>
      </c>
      <c r="EX21" s="224">
        <v>-1.1423253454267979E-9</v>
      </c>
      <c r="EY21" s="224">
        <v>-1.1423253454267979E-9</v>
      </c>
      <c r="EZ21" s="224">
        <v>-1.1423253454267979E-9</v>
      </c>
      <c r="FA21" s="224">
        <v>-1.1423253454267979E-9</v>
      </c>
      <c r="FB21" s="224">
        <v>-1.1423253454267979E-9</v>
      </c>
      <c r="FC21" s="224">
        <v>-1.1423253454267979E-9</v>
      </c>
      <c r="FD21" s="224">
        <v>-1.1423253454267979E-9</v>
      </c>
      <c r="FE21" s="224">
        <v>-1.1423253454267979E-9</v>
      </c>
      <c r="FF21" s="224">
        <v>-1.1423253454267979E-9</v>
      </c>
      <c r="FG21" s="224">
        <v>-1.1423253454267979E-9</v>
      </c>
    </row>
    <row r="22" spans="2:163" x14ac:dyDescent="0.25">
      <c r="B22" s="223" t="s">
        <v>400</v>
      </c>
      <c r="C22" s="223" t="s">
        <v>421</v>
      </c>
      <c r="D22" s="223" t="s">
        <v>422</v>
      </c>
      <c r="E22" s="223">
        <v>0</v>
      </c>
      <c r="F22" s="223" t="s">
        <v>425</v>
      </c>
      <c r="G22" s="223" t="s">
        <v>426</v>
      </c>
      <c r="H22" s="224">
        <v>0</v>
      </c>
      <c r="I22" s="224">
        <v>0</v>
      </c>
      <c r="J22" s="224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4">
        <v>0</v>
      </c>
      <c r="X22" s="224">
        <v>0</v>
      </c>
      <c r="Y22" s="224">
        <v>0</v>
      </c>
      <c r="Z22" s="224">
        <v>0</v>
      </c>
      <c r="AA22" s="224">
        <v>0</v>
      </c>
      <c r="AB22" s="224">
        <v>0</v>
      </c>
      <c r="AC22" s="224">
        <v>0</v>
      </c>
      <c r="AD22" s="224">
        <v>0</v>
      </c>
      <c r="AE22" s="224">
        <v>0</v>
      </c>
      <c r="AF22" s="224">
        <v>0</v>
      </c>
      <c r="AG22" s="224">
        <v>0</v>
      </c>
      <c r="AH22" s="224">
        <v>0</v>
      </c>
      <c r="AI22" s="224">
        <v>0</v>
      </c>
      <c r="AJ22" s="224">
        <v>0</v>
      </c>
      <c r="AK22" s="224">
        <v>0</v>
      </c>
      <c r="AL22" s="224">
        <v>0</v>
      </c>
      <c r="AM22" s="224">
        <v>0</v>
      </c>
      <c r="AN22" s="224">
        <v>0</v>
      </c>
      <c r="AO22" s="224">
        <v>0</v>
      </c>
      <c r="AP22" s="224">
        <v>0</v>
      </c>
      <c r="AQ22" s="224">
        <v>0</v>
      </c>
      <c r="AR22" s="224">
        <v>0</v>
      </c>
      <c r="AS22" s="224">
        <v>0</v>
      </c>
      <c r="AT22" s="224">
        <v>0</v>
      </c>
      <c r="AU22" s="224">
        <v>0</v>
      </c>
      <c r="AV22" s="224">
        <v>0</v>
      </c>
      <c r="AW22" s="224">
        <v>0</v>
      </c>
      <c r="AX22" s="224">
        <v>0</v>
      </c>
      <c r="AY22" s="224">
        <v>0</v>
      </c>
      <c r="AZ22" s="224">
        <v>0</v>
      </c>
      <c r="BA22" s="224">
        <v>0</v>
      </c>
      <c r="BB22" s="224">
        <v>0</v>
      </c>
      <c r="BC22" s="224">
        <v>0</v>
      </c>
      <c r="BD22" s="224">
        <v>0</v>
      </c>
      <c r="BE22" s="224">
        <v>0</v>
      </c>
      <c r="BF22" s="224">
        <v>0</v>
      </c>
      <c r="BG22" s="224">
        <v>0</v>
      </c>
      <c r="BH22" s="224">
        <v>0</v>
      </c>
      <c r="BI22" s="224">
        <v>0</v>
      </c>
      <c r="BJ22" s="224">
        <v>0</v>
      </c>
      <c r="BK22" s="224">
        <v>0</v>
      </c>
      <c r="BL22" s="224">
        <v>0</v>
      </c>
      <c r="BM22" s="224">
        <v>0</v>
      </c>
      <c r="BN22" s="224">
        <v>0</v>
      </c>
      <c r="BO22" s="224">
        <v>0</v>
      </c>
      <c r="BP22" s="224">
        <v>0</v>
      </c>
      <c r="BQ22" s="224">
        <v>0</v>
      </c>
      <c r="BR22" s="224">
        <v>0</v>
      </c>
      <c r="BS22" s="224">
        <v>0</v>
      </c>
      <c r="BT22" s="224">
        <v>0</v>
      </c>
      <c r="BU22" s="224">
        <v>0</v>
      </c>
      <c r="BV22" s="224">
        <v>0</v>
      </c>
      <c r="BW22" s="224">
        <v>0</v>
      </c>
      <c r="BX22" s="224">
        <v>0</v>
      </c>
      <c r="BY22" s="224">
        <v>0</v>
      </c>
      <c r="BZ22" s="224">
        <v>0</v>
      </c>
      <c r="CA22" s="224">
        <v>0</v>
      </c>
      <c r="CB22" s="224">
        <v>0</v>
      </c>
      <c r="CC22" s="224">
        <v>0</v>
      </c>
      <c r="CD22" s="224">
        <v>0</v>
      </c>
      <c r="CE22" s="224">
        <v>0</v>
      </c>
      <c r="CF22" s="224">
        <v>0</v>
      </c>
      <c r="CG22" s="224">
        <v>0</v>
      </c>
      <c r="CH22" s="224">
        <v>0</v>
      </c>
      <c r="CI22" s="224">
        <v>0</v>
      </c>
      <c r="CJ22" s="224">
        <v>0</v>
      </c>
      <c r="CK22" s="224">
        <v>0</v>
      </c>
      <c r="CL22" s="224">
        <v>0</v>
      </c>
      <c r="CM22" s="224">
        <v>0</v>
      </c>
      <c r="CN22" s="224">
        <v>0</v>
      </c>
      <c r="CO22" s="224">
        <v>0</v>
      </c>
      <c r="CP22" s="224">
        <v>0</v>
      </c>
      <c r="CQ22" s="224">
        <v>0</v>
      </c>
      <c r="CR22" s="224">
        <v>0</v>
      </c>
      <c r="CS22" s="224">
        <v>0</v>
      </c>
      <c r="CT22" s="224">
        <v>0</v>
      </c>
      <c r="CU22" s="224">
        <v>0</v>
      </c>
      <c r="CV22" s="224">
        <v>0</v>
      </c>
      <c r="CW22" s="224">
        <v>0</v>
      </c>
      <c r="CX22" s="224">
        <v>0</v>
      </c>
      <c r="CY22" s="224">
        <v>0</v>
      </c>
      <c r="CZ22" s="224">
        <v>0</v>
      </c>
      <c r="DA22" s="224">
        <v>0</v>
      </c>
      <c r="DB22" s="224">
        <v>0</v>
      </c>
      <c r="DC22" s="224">
        <v>0</v>
      </c>
      <c r="DD22" s="224">
        <v>0</v>
      </c>
      <c r="DE22" s="224">
        <v>0</v>
      </c>
      <c r="DF22" s="224">
        <v>0</v>
      </c>
      <c r="DG22" s="224">
        <v>0</v>
      </c>
      <c r="DH22" s="224">
        <v>0</v>
      </c>
      <c r="DI22" s="224">
        <v>0</v>
      </c>
      <c r="DJ22" s="224">
        <v>0</v>
      </c>
      <c r="DK22" s="224">
        <v>0</v>
      </c>
      <c r="DL22" s="224">
        <v>0</v>
      </c>
      <c r="DM22" s="224">
        <v>0</v>
      </c>
      <c r="DN22" s="224">
        <v>0</v>
      </c>
      <c r="DO22" s="224">
        <v>0</v>
      </c>
      <c r="DP22" s="224">
        <v>0</v>
      </c>
      <c r="DQ22" s="224">
        <v>0</v>
      </c>
      <c r="DR22" s="224">
        <v>0</v>
      </c>
      <c r="DS22" s="224">
        <v>0</v>
      </c>
      <c r="DT22" s="224">
        <v>0</v>
      </c>
      <c r="DU22" s="224">
        <v>0</v>
      </c>
      <c r="DV22" s="224">
        <v>0</v>
      </c>
      <c r="DW22" s="224">
        <v>0</v>
      </c>
      <c r="DX22" s="224">
        <v>0</v>
      </c>
      <c r="DY22" s="224">
        <v>0</v>
      </c>
      <c r="DZ22" s="224">
        <v>0</v>
      </c>
      <c r="EA22" s="224">
        <v>0</v>
      </c>
      <c r="EB22" s="224">
        <v>0</v>
      </c>
      <c r="EC22" s="224">
        <v>0</v>
      </c>
      <c r="ED22" s="224">
        <v>0</v>
      </c>
      <c r="EE22" s="224">
        <v>0</v>
      </c>
      <c r="EF22" s="224">
        <v>0</v>
      </c>
      <c r="EG22" s="224">
        <v>0</v>
      </c>
      <c r="EH22" s="224">
        <v>0</v>
      </c>
      <c r="EI22" s="224">
        <v>0</v>
      </c>
      <c r="EJ22" s="224">
        <v>0</v>
      </c>
      <c r="EK22" s="224">
        <v>0</v>
      </c>
      <c r="EL22" s="224">
        <v>0</v>
      </c>
      <c r="EM22" s="224">
        <v>0</v>
      </c>
      <c r="EN22" s="224">
        <v>0</v>
      </c>
      <c r="EO22" s="224">
        <v>0</v>
      </c>
      <c r="EP22" s="224">
        <v>0</v>
      </c>
      <c r="EQ22" s="224">
        <v>0</v>
      </c>
      <c r="ER22" s="224">
        <v>0</v>
      </c>
      <c r="ES22" s="224">
        <v>0</v>
      </c>
      <c r="ET22" s="224">
        <v>0</v>
      </c>
      <c r="EU22" s="224">
        <v>0</v>
      </c>
      <c r="EV22" s="224">
        <v>0</v>
      </c>
      <c r="EW22" s="224">
        <v>0</v>
      </c>
      <c r="EX22" s="224">
        <v>0</v>
      </c>
      <c r="EY22" s="224">
        <v>0</v>
      </c>
      <c r="EZ22" s="224">
        <v>0</v>
      </c>
      <c r="FA22" s="224">
        <v>0</v>
      </c>
      <c r="FB22" s="224">
        <v>0</v>
      </c>
      <c r="FC22" s="224">
        <v>0</v>
      </c>
      <c r="FD22" s="224">
        <v>0</v>
      </c>
      <c r="FE22" s="224">
        <v>0</v>
      </c>
      <c r="FF22" s="224">
        <v>0</v>
      </c>
      <c r="FG22" s="224">
        <v>0</v>
      </c>
    </row>
    <row r="23" spans="2:163" x14ac:dyDescent="0.25">
      <c r="B23" s="223" t="s">
        <v>400</v>
      </c>
      <c r="C23" s="223" t="s">
        <v>421</v>
      </c>
      <c r="D23" s="223" t="s">
        <v>422</v>
      </c>
      <c r="E23" s="223">
        <v>0</v>
      </c>
      <c r="F23" s="223" t="s">
        <v>425</v>
      </c>
      <c r="G23" s="223" t="s">
        <v>427</v>
      </c>
      <c r="H23" s="224">
        <v>4298.9458333333341</v>
      </c>
      <c r="I23" s="224">
        <v>8526.2425694444464</v>
      </c>
      <c r="J23" s="224">
        <v>12681.890208333338</v>
      </c>
      <c r="K23" s="224">
        <v>16765.888750000006</v>
      </c>
      <c r="L23" s="224">
        <v>20778.238194444453</v>
      </c>
      <c r="M23" s="224">
        <v>24718.938541666677</v>
      </c>
      <c r="N23" s="224">
        <v>28587.989791666678</v>
      </c>
      <c r="O23" s="224">
        <v>32385.391944444458</v>
      </c>
      <c r="P23" s="224">
        <v>36111.145000000019</v>
      </c>
      <c r="Q23" s="224">
        <v>39765.248958333352</v>
      </c>
      <c r="R23" s="224">
        <v>43347.703819444461</v>
      </c>
      <c r="S23" s="224">
        <v>46858.509583333347</v>
      </c>
      <c r="T23" s="224">
        <v>54066.878750000011</v>
      </c>
      <c r="U23" s="224">
        <v>61140.77861111112</v>
      </c>
      <c r="V23" s="224">
        <v>68080.209166666682</v>
      </c>
      <c r="W23" s="224">
        <v>74885.17041666669</v>
      </c>
      <c r="X23" s="224">
        <v>81555.662361111143</v>
      </c>
      <c r="Y23" s="224">
        <v>88091.685000000041</v>
      </c>
      <c r="Z23" s="224">
        <v>94493.238333333386</v>
      </c>
      <c r="AA23" s="224">
        <v>100760.32236111118</v>
      </c>
      <c r="AB23" s="224">
        <v>106892.93708333341</v>
      </c>
      <c r="AC23" s="224">
        <v>112891.08250000008</v>
      </c>
      <c r="AD23" s="224">
        <v>118754.75861111119</v>
      </c>
      <c r="AE23" s="224">
        <v>124483.96541666675</v>
      </c>
      <c r="AF23" s="224">
        <v>132213.04875000007</v>
      </c>
      <c r="AG23" s="224">
        <v>139772.09034722231</v>
      </c>
      <c r="AH23" s="224">
        <v>147161.09020833345</v>
      </c>
      <c r="AI23" s="224">
        <v>154380.04833333346</v>
      </c>
      <c r="AJ23" s="224">
        <v>161428.96472222236</v>
      </c>
      <c r="AK23" s="224">
        <v>168307.83937500016</v>
      </c>
      <c r="AL23" s="224">
        <v>175016.67229166682</v>
      </c>
      <c r="AM23" s="224">
        <v>181555.46347222239</v>
      </c>
      <c r="AN23" s="224">
        <v>187924.21291666685</v>
      </c>
      <c r="AO23" s="224">
        <v>194122.9206250002</v>
      </c>
      <c r="AP23" s="224">
        <v>200151.58659722243</v>
      </c>
      <c r="AQ23" s="224">
        <v>206010.21083333355</v>
      </c>
      <c r="AR23" s="224">
        <v>201496.28916666689</v>
      </c>
      <c r="AS23" s="224">
        <v>196982.36750000023</v>
      </c>
      <c r="AT23" s="224">
        <v>192468.44583333356</v>
      </c>
      <c r="AU23" s="224">
        <v>187954.5241666669</v>
      </c>
      <c r="AV23" s="224">
        <v>183440.60250000024</v>
      </c>
      <c r="AW23" s="224">
        <v>178926.68083333358</v>
      </c>
      <c r="AX23" s="224">
        <v>174412.75916666692</v>
      </c>
      <c r="AY23" s="224">
        <v>169898.83750000026</v>
      </c>
      <c r="AZ23" s="224">
        <v>165384.91583333359</v>
      </c>
      <c r="BA23" s="224">
        <v>160870.99416666693</v>
      </c>
      <c r="BB23" s="224">
        <v>156357.07250000027</v>
      </c>
      <c r="BC23" s="224">
        <v>151843.15083333361</v>
      </c>
      <c r="BD23" s="224">
        <v>147329.22916666695</v>
      </c>
      <c r="BE23" s="224">
        <v>142815.30750000029</v>
      </c>
      <c r="BF23" s="224">
        <v>138301.38583333362</v>
      </c>
      <c r="BG23" s="224">
        <v>133787.46416666696</v>
      </c>
      <c r="BH23" s="224">
        <v>129273.54250000029</v>
      </c>
      <c r="BI23" s="224">
        <v>124759.62083333361</v>
      </c>
      <c r="BJ23" s="224">
        <v>120245.69916666693</v>
      </c>
      <c r="BK23" s="224">
        <v>115731.77750000026</v>
      </c>
      <c r="BL23" s="224">
        <v>111217.85583333358</v>
      </c>
      <c r="BM23" s="224">
        <v>106703.93416666691</v>
      </c>
      <c r="BN23" s="224">
        <v>102190.01250000023</v>
      </c>
      <c r="BO23" s="224">
        <v>97676.090833333554</v>
      </c>
      <c r="BP23" s="224">
        <v>93162.169166666878</v>
      </c>
      <c r="BQ23" s="224">
        <v>88719.896597222425</v>
      </c>
      <c r="BR23" s="224">
        <v>84349.273125000196</v>
      </c>
      <c r="BS23" s="224">
        <v>80050.298750000191</v>
      </c>
      <c r="BT23" s="224">
        <v>75822.973472222409</v>
      </c>
      <c r="BU23" s="224">
        <v>71667.297291666851</v>
      </c>
      <c r="BV23" s="224">
        <v>67583.270208333517</v>
      </c>
      <c r="BW23" s="224">
        <v>63570.892222222406</v>
      </c>
      <c r="BX23" s="224">
        <v>59630.163333333512</v>
      </c>
      <c r="BY23" s="224">
        <v>55761.083541666841</v>
      </c>
      <c r="BZ23" s="224">
        <v>51963.652847222394</v>
      </c>
      <c r="CA23" s="224">
        <v>48237.871250000171</v>
      </c>
      <c r="CB23" s="224">
        <v>44583.738750000171</v>
      </c>
      <c r="CC23" s="224">
        <v>41064.075555555726</v>
      </c>
      <c r="CD23" s="224">
        <v>37678.881666666835</v>
      </c>
      <c r="CE23" s="224">
        <v>34428.157083333499</v>
      </c>
      <c r="CF23" s="224">
        <v>31311.901805555721</v>
      </c>
      <c r="CG23" s="224">
        <v>28330.115833333497</v>
      </c>
      <c r="CH23" s="224">
        <v>25482.799166666831</v>
      </c>
      <c r="CI23" s="224">
        <v>22769.95180555572</v>
      </c>
      <c r="CJ23" s="224">
        <v>20191.573750000163</v>
      </c>
      <c r="CK23" s="224">
        <v>17747.665000000161</v>
      </c>
      <c r="CL23" s="224">
        <v>15438.225555555717</v>
      </c>
      <c r="CM23" s="224">
        <v>13263.255416666827</v>
      </c>
      <c r="CN23" s="224">
        <v>11222.754583333493</v>
      </c>
      <c r="CO23" s="224">
        <v>9352.2954861112703</v>
      </c>
      <c r="CP23" s="224">
        <v>7651.8781250001593</v>
      </c>
      <c r="CQ23" s="224">
        <v>6121.5025000001588</v>
      </c>
      <c r="CR23" s="224">
        <v>4761.1686111112695</v>
      </c>
      <c r="CS23" s="224">
        <v>3570.8764583334914</v>
      </c>
      <c r="CT23" s="224">
        <v>2550.6260416668247</v>
      </c>
      <c r="CU23" s="224">
        <v>1700.4173611112692</v>
      </c>
      <c r="CV23" s="224">
        <v>1020.2504166668247</v>
      </c>
      <c r="CW23" s="224">
        <v>510.12520833349123</v>
      </c>
      <c r="CX23" s="224">
        <v>170.04173611126896</v>
      </c>
      <c r="CY23" s="224">
        <v>1.5782575246703345E-10</v>
      </c>
      <c r="CZ23" s="224">
        <v>1.5782575246703345E-10</v>
      </c>
      <c r="DA23" s="224">
        <v>1.5782575246703345E-10</v>
      </c>
      <c r="DB23" s="224">
        <v>1.5782575246703345E-10</v>
      </c>
      <c r="DC23" s="224">
        <v>1.5782575246703345E-10</v>
      </c>
      <c r="DD23" s="224">
        <v>1.5782575246703345E-10</v>
      </c>
      <c r="DE23" s="224">
        <v>1.5782575246703345E-10</v>
      </c>
      <c r="DF23" s="224">
        <v>1.5782575246703345E-10</v>
      </c>
      <c r="DG23" s="224">
        <v>1.5782575246703345E-10</v>
      </c>
      <c r="DH23" s="224">
        <v>1.5782575246703345E-10</v>
      </c>
      <c r="DI23" s="224">
        <v>1.5782575246703345E-10</v>
      </c>
      <c r="DJ23" s="224">
        <v>1.5782575246703345E-10</v>
      </c>
      <c r="DK23" s="224">
        <v>1.5782575246703345E-10</v>
      </c>
      <c r="DL23" s="224">
        <v>1.5782575246703345E-10</v>
      </c>
      <c r="DM23" s="224">
        <v>1.5782575246703345E-10</v>
      </c>
      <c r="DN23" s="224">
        <v>1.5782575246703345E-10</v>
      </c>
      <c r="DO23" s="224">
        <v>1.5782575246703345E-10</v>
      </c>
      <c r="DP23" s="224">
        <v>1.5782575246703345E-10</v>
      </c>
      <c r="DQ23" s="224">
        <v>1.5782575246703345E-10</v>
      </c>
      <c r="DR23" s="224">
        <v>1.5782575246703345E-10</v>
      </c>
      <c r="DS23" s="224">
        <v>1.5782575246703345E-10</v>
      </c>
      <c r="DT23" s="224">
        <v>1.5782575246703345E-10</v>
      </c>
      <c r="DU23" s="224">
        <v>1.5782575246703345E-10</v>
      </c>
      <c r="DV23" s="224">
        <v>1.5782575246703345E-10</v>
      </c>
      <c r="DW23" s="224">
        <v>1.5782575246703345E-10</v>
      </c>
      <c r="DX23" s="224">
        <v>1.5782575246703345E-10</v>
      </c>
      <c r="DY23" s="224">
        <v>1.5782575246703345E-10</v>
      </c>
      <c r="DZ23" s="224">
        <v>1.5782575246703345E-10</v>
      </c>
      <c r="EA23" s="224">
        <v>1.5782575246703345E-10</v>
      </c>
      <c r="EB23" s="224">
        <v>1.5782575246703345E-10</v>
      </c>
      <c r="EC23" s="224">
        <v>1.5782575246703345E-10</v>
      </c>
      <c r="ED23" s="224">
        <v>1.5782575246703345E-10</v>
      </c>
      <c r="EE23" s="224">
        <v>1.5782575246703345E-10</v>
      </c>
      <c r="EF23" s="224">
        <v>1.5782575246703345E-10</v>
      </c>
      <c r="EG23" s="224">
        <v>1.5782575246703345E-10</v>
      </c>
      <c r="EH23" s="224">
        <v>1.5782575246703345E-10</v>
      </c>
      <c r="EI23" s="224">
        <v>1.5782575246703345E-10</v>
      </c>
      <c r="EJ23" s="224">
        <v>1.5782575246703345E-10</v>
      </c>
      <c r="EK23" s="224">
        <v>1.5782575246703345E-10</v>
      </c>
      <c r="EL23" s="224">
        <v>1.5782575246703345E-10</v>
      </c>
      <c r="EM23" s="224">
        <v>1.5782575246703345E-10</v>
      </c>
      <c r="EN23" s="224">
        <v>1.5782575246703345E-10</v>
      </c>
      <c r="EO23" s="224">
        <v>1.5782575246703345E-10</v>
      </c>
      <c r="EP23" s="224">
        <v>1.5782575246703345E-10</v>
      </c>
      <c r="EQ23" s="224">
        <v>1.5782575246703345E-10</v>
      </c>
      <c r="ER23" s="224">
        <v>1.5782575246703345E-10</v>
      </c>
      <c r="ES23" s="224">
        <v>1.5782575246703345E-10</v>
      </c>
      <c r="ET23" s="224">
        <v>1.5782575246703345E-10</v>
      </c>
      <c r="EU23" s="224">
        <v>1.5782575246703345E-10</v>
      </c>
      <c r="EV23" s="224">
        <v>1.5782575246703345E-10</v>
      </c>
      <c r="EW23" s="224">
        <v>1.5782575246703345E-10</v>
      </c>
      <c r="EX23" s="224">
        <v>1.5782575246703345E-10</v>
      </c>
      <c r="EY23" s="224">
        <v>1.5782575246703345E-10</v>
      </c>
      <c r="EZ23" s="224">
        <v>1.5782575246703345E-10</v>
      </c>
      <c r="FA23" s="224">
        <v>1.5782575246703345E-10</v>
      </c>
      <c r="FB23" s="224">
        <v>1.5782575246703345E-10</v>
      </c>
      <c r="FC23" s="224">
        <v>1.5782575246703345E-10</v>
      </c>
      <c r="FD23" s="224">
        <v>1.5782575246703345E-10</v>
      </c>
      <c r="FE23" s="224">
        <v>1.5782575246703345E-10</v>
      </c>
      <c r="FF23" s="224">
        <v>1.5782575246703345E-10</v>
      </c>
      <c r="FG23" s="224">
        <v>1.5782575246703345E-10</v>
      </c>
    </row>
    <row r="24" spans="2:163" x14ac:dyDescent="0.25">
      <c r="B24" s="223" t="s">
        <v>400</v>
      </c>
      <c r="C24" s="223" t="s">
        <v>421</v>
      </c>
      <c r="D24" s="223" t="s">
        <v>422</v>
      </c>
      <c r="E24" s="223">
        <v>0</v>
      </c>
      <c r="F24" s="223" t="s">
        <v>425</v>
      </c>
      <c r="G24" s="223" t="s">
        <v>428</v>
      </c>
      <c r="H24" s="224">
        <v>785.77408636363646</v>
      </c>
      <c r="I24" s="224">
        <v>1558.4519379545457</v>
      </c>
      <c r="J24" s="224">
        <v>2318.0335547727277</v>
      </c>
      <c r="K24" s="224">
        <v>3064.5189368181823</v>
      </c>
      <c r="L24" s="224">
        <v>3797.9080840909096</v>
      </c>
      <c r="M24" s="224">
        <v>4518.2009965909101</v>
      </c>
      <c r="N24" s="224">
        <v>5225.3976743181829</v>
      </c>
      <c r="O24" s="224">
        <v>5919.4981172727285</v>
      </c>
      <c r="P24" s="224">
        <v>6600.5023254545467</v>
      </c>
      <c r="Q24" s="224">
        <v>7268.4102988636378</v>
      </c>
      <c r="R24" s="224">
        <v>7923.2220375000015</v>
      </c>
      <c r="S24" s="224">
        <v>8564.937541363639</v>
      </c>
      <c r="T24" s="224">
        <v>9193.5568104545491</v>
      </c>
      <c r="U24" s="224">
        <v>9809.079844772732</v>
      </c>
      <c r="V24" s="224">
        <v>10411.506644318188</v>
      </c>
      <c r="W24" s="224">
        <v>11000.837209090916</v>
      </c>
      <c r="X24" s="224">
        <v>11577.071539090917</v>
      </c>
      <c r="Y24" s="224">
        <v>12140.209634318191</v>
      </c>
      <c r="Z24" s="224">
        <v>12690.251494772738</v>
      </c>
      <c r="AA24" s="224">
        <v>13227.197120454557</v>
      </c>
      <c r="AB24" s="224">
        <v>13751.046511363649</v>
      </c>
      <c r="AC24" s="224">
        <v>14261.799667500014</v>
      </c>
      <c r="AD24" s="224">
        <v>14759.456588863652</v>
      </c>
      <c r="AE24" s="224">
        <v>15244.017275454562</v>
      </c>
      <c r="AF24" s="224">
        <v>15715.481727272745</v>
      </c>
      <c r="AG24" s="224">
        <v>16173.849944318199</v>
      </c>
      <c r="AH24" s="224">
        <v>16619.121926590928</v>
      </c>
      <c r="AI24" s="224">
        <v>17051.297674090925</v>
      </c>
      <c r="AJ24" s="224">
        <v>17470.377186818198</v>
      </c>
      <c r="AK24" s="224">
        <v>17876.360464772741</v>
      </c>
      <c r="AL24" s="224">
        <v>18269.247507954558</v>
      </c>
      <c r="AM24" s="224">
        <v>18649.038316363647</v>
      </c>
      <c r="AN24" s="224">
        <v>19015.73289000001</v>
      </c>
      <c r="AO24" s="224">
        <v>19369.331228863644</v>
      </c>
      <c r="AP24" s="224">
        <v>19709.833332954553</v>
      </c>
      <c r="AQ24" s="224">
        <v>20037.239202272733</v>
      </c>
      <c r="AR24" s="224">
        <v>19565.774750454551</v>
      </c>
      <c r="AS24" s="224">
        <v>19094.31029863637</v>
      </c>
      <c r="AT24" s="224">
        <v>18622.845846818189</v>
      </c>
      <c r="AU24" s="224">
        <v>18151.381395000008</v>
      </c>
      <c r="AV24" s="224">
        <v>17679.916943181826</v>
      </c>
      <c r="AW24" s="224">
        <v>17208.452491363645</v>
      </c>
      <c r="AX24" s="224">
        <v>16736.988039545464</v>
      </c>
      <c r="AY24" s="224">
        <v>16265.523587727283</v>
      </c>
      <c r="AZ24" s="224">
        <v>15794.059135909101</v>
      </c>
      <c r="BA24" s="224">
        <v>15322.59468409092</v>
      </c>
      <c r="BB24" s="224">
        <v>14851.130232272739</v>
      </c>
      <c r="BC24" s="224">
        <v>14379.665780454558</v>
      </c>
      <c r="BD24" s="224">
        <v>13908.201328636376</v>
      </c>
      <c r="BE24" s="224">
        <v>13436.736876818195</v>
      </c>
      <c r="BF24" s="224">
        <v>12965.272425000014</v>
      </c>
      <c r="BG24" s="224">
        <v>12493.807973181832</v>
      </c>
      <c r="BH24" s="224">
        <v>12022.343521363651</v>
      </c>
      <c r="BI24" s="224">
        <v>11550.87906954547</v>
      </c>
      <c r="BJ24" s="224">
        <v>11079.414617727289</v>
      </c>
      <c r="BK24" s="224">
        <v>10607.950165909107</v>
      </c>
      <c r="BL24" s="224">
        <v>10136.485714090926</v>
      </c>
      <c r="BM24" s="224">
        <v>9665.0212622727449</v>
      </c>
      <c r="BN24" s="224">
        <v>9193.5568104545637</v>
      </c>
      <c r="BO24" s="224">
        <v>8722.0923586363824</v>
      </c>
      <c r="BP24" s="224">
        <v>8250.6279068182012</v>
      </c>
      <c r="BQ24" s="224">
        <v>7792.2596897727462</v>
      </c>
      <c r="BR24" s="224">
        <v>7346.9877075000186</v>
      </c>
      <c r="BS24" s="224">
        <v>6914.8119600000182</v>
      </c>
      <c r="BT24" s="224">
        <v>6495.732447272745</v>
      </c>
      <c r="BU24" s="224">
        <v>6089.7491693181992</v>
      </c>
      <c r="BV24" s="224">
        <v>5696.8621261363805</v>
      </c>
      <c r="BW24" s="224">
        <v>5317.0713177272892</v>
      </c>
      <c r="BX24" s="224">
        <v>4950.3767440909251</v>
      </c>
      <c r="BY24" s="224">
        <v>4596.7784052272882</v>
      </c>
      <c r="BZ24" s="224">
        <v>4256.2763011363786</v>
      </c>
      <c r="CA24" s="224">
        <v>3928.8704318181967</v>
      </c>
      <c r="CB24" s="224">
        <v>3614.5607972727421</v>
      </c>
      <c r="CC24" s="224">
        <v>3313.3473975000147</v>
      </c>
      <c r="CD24" s="224">
        <v>3025.2302325000146</v>
      </c>
      <c r="CE24" s="224">
        <v>2750.2093022727418</v>
      </c>
      <c r="CF24" s="224">
        <v>2488.2846068181962</v>
      </c>
      <c r="CG24" s="224">
        <v>2239.4561461363778</v>
      </c>
      <c r="CH24" s="224">
        <v>2003.7239202272867</v>
      </c>
      <c r="CI24" s="224">
        <v>1781.0879290909229</v>
      </c>
      <c r="CJ24" s="224">
        <v>1571.5481727272863</v>
      </c>
      <c r="CK24" s="224">
        <v>1375.1046511363772</v>
      </c>
      <c r="CL24" s="224">
        <v>1191.7573643181954</v>
      </c>
      <c r="CM24" s="224">
        <v>1021.5063122727408</v>
      </c>
      <c r="CN24" s="224">
        <v>864.35149500001353</v>
      </c>
      <c r="CO24" s="224">
        <v>720.29291250001347</v>
      </c>
      <c r="CP24" s="224">
        <v>589.33056477274067</v>
      </c>
      <c r="CQ24" s="224">
        <v>471.46445181819519</v>
      </c>
      <c r="CR24" s="224">
        <v>366.69457363637696</v>
      </c>
      <c r="CS24" s="224">
        <v>275.02093022728604</v>
      </c>
      <c r="CT24" s="224">
        <v>196.44352159092239</v>
      </c>
      <c r="CU24" s="224">
        <v>130.96234772728602</v>
      </c>
      <c r="CV24" s="224">
        <v>78.577408636376916</v>
      </c>
      <c r="CW24" s="224">
        <v>39.288704318195094</v>
      </c>
      <c r="CX24" s="224">
        <v>13.096234772740544</v>
      </c>
      <c r="CY24" s="224">
        <v>1.3269385590319871E-11</v>
      </c>
      <c r="CZ24" s="224">
        <v>1.3269385590319871E-11</v>
      </c>
      <c r="DA24" s="224">
        <v>1.3269385590319871E-11</v>
      </c>
      <c r="DB24" s="224">
        <v>1.3269385590319871E-11</v>
      </c>
      <c r="DC24" s="224">
        <v>1.3269385590319871E-11</v>
      </c>
      <c r="DD24" s="224">
        <v>1.3269385590319871E-11</v>
      </c>
      <c r="DE24" s="224">
        <v>1.3269385590319871E-11</v>
      </c>
      <c r="DF24" s="224">
        <v>1.3269385590319871E-11</v>
      </c>
      <c r="DG24" s="224">
        <v>1.3269385590319871E-11</v>
      </c>
      <c r="DH24" s="224">
        <v>1.3269385590319871E-11</v>
      </c>
      <c r="DI24" s="224">
        <v>1.3269385590319871E-11</v>
      </c>
      <c r="DJ24" s="224">
        <v>1.3269385590319871E-11</v>
      </c>
      <c r="DK24" s="224">
        <v>1.3269385590319871E-11</v>
      </c>
      <c r="DL24" s="224">
        <v>1.3269385590319871E-11</v>
      </c>
      <c r="DM24" s="224">
        <v>1.3269385590319871E-11</v>
      </c>
      <c r="DN24" s="224">
        <v>1.3269385590319871E-11</v>
      </c>
      <c r="DO24" s="224">
        <v>1.3269385590319871E-11</v>
      </c>
      <c r="DP24" s="224">
        <v>1.3269385590319871E-11</v>
      </c>
      <c r="DQ24" s="224">
        <v>1.3269385590319871E-11</v>
      </c>
      <c r="DR24" s="224">
        <v>1.3269385590319871E-11</v>
      </c>
      <c r="DS24" s="224">
        <v>1.3269385590319871E-11</v>
      </c>
      <c r="DT24" s="224">
        <v>1.3269385590319871E-11</v>
      </c>
      <c r="DU24" s="224">
        <v>1.3269385590319871E-11</v>
      </c>
      <c r="DV24" s="224">
        <v>1.3269385590319871E-11</v>
      </c>
      <c r="DW24" s="224">
        <v>1.3269385590319871E-11</v>
      </c>
      <c r="DX24" s="224">
        <v>1.3269385590319871E-11</v>
      </c>
      <c r="DY24" s="224">
        <v>1.3269385590319871E-11</v>
      </c>
      <c r="DZ24" s="224">
        <v>1.3269385590319871E-11</v>
      </c>
      <c r="EA24" s="224">
        <v>1.3269385590319871E-11</v>
      </c>
      <c r="EB24" s="224">
        <v>1.3269385590319871E-11</v>
      </c>
      <c r="EC24" s="224">
        <v>1.3269385590319871E-11</v>
      </c>
      <c r="ED24" s="224">
        <v>1.3269385590319871E-11</v>
      </c>
      <c r="EE24" s="224">
        <v>1.3269385590319871E-11</v>
      </c>
      <c r="EF24" s="224">
        <v>1.3269385590319871E-11</v>
      </c>
      <c r="EG24" s="224">
        <v>1.3269385590319871E-11</v>
      </c>
      <c r="EH24" s="224">
        <v>1.3269385590319871E-11</v>
      </c>
      <c r="EI24" s="224">
        <v>1.3269385590319871E-11</v>
      </c>
      <c r="EJ24" s="224">
        <v>1.3269385590319871E-11</v>
      </c>
      <c r="EK24" s="224">
        <v>1.3269385590319871E-11</v>
      </c>
      <c r="EL24" s="224">
        <v>1.3269385590319871E-11</v>
      </c>
      <c r="EM24" s="224">
        <v>1.3269385590319871E-11</v>
      </c>
      <c r="EN24" s="224">
        <v>1.3269385590319871E-11</v>
      </c>
      <c r="EO24" s="224">
        <v>1.3269385590319871E-11</v>
      </c>
      <c r="EP24" s="224">
        <v>1.3269385590319871E-11</v>
      </c>
      <c r="EQ24" s="224">
        <v>1.3269385590319871E-11</v>
      </c>
      <c r="ER24" s="224">
        <v>1.3269385590319871E-11</v>
      </c>
      <c r="ES24" s="224">
        <v>1.3269385590319871E-11</v>
      </c>
      <c r="ET24" s="224">
        <v>1.3269385590319871E-11</v>
      </c>
      <c r="EU24" s="224">
        <v>1.3269385590319871E-11</v>
      </c>
      <c r="EV24" s="224">
        <v>1.3269385590319871E-11</v>
      </c>
      <c r="EW24" s="224">
        <v>1.3269385590319871E-11</v>
      </c>
      <c r="EX24" s="224">
        <v>1.3269385590319871E-11</v>
      </c>
      <c r="EY24" s="224">
        <v>1.3269385590319871E-11</v>
      </c>
      <c r="EZ24" s="224">
        <v>1.3269385590319871E-11</v>
      </c>
      <c r="FA24" s="224">
        <v>1.3269385590319871E-11</v>
      </c>
      <c r="FB24" s="224">
        <v>1.3269385590319871E-11</v>
      </c>
      <c r="FC24" s="224">
        <v>1.3269385590319871E-11</v>
      </c>
      <c r="FD24" s="224">
        <v>1.3269385590319871E-11</v>
      </c>
      <c r="FE24" s="224">
        <v>1.3269385590319871E-11</v>
      </c>
      <c r="FF24" s="224">
        <v>1.3269385590319871E-11</v>
      </c>
      <c r="FG24" s="224">
        <v>1.3269385590319871E-11</v>
      </c>
    </row>
    <row r="25" spans="2:163" x14ac:dyDescent="0.25">
      <c r="B25" s="223" t="s">
        <v>400</v>
      </c>
      <c r="C25" s="223" t="s">
        <v>421</v>
      </c>
      <c r="D25" s="223" t="s">
        <v>422</v>
      </c>
      <c r="E25" s="223">
        <v>0</v>
      </c>
      <c r="F25" s="223" t="s">
        <v>425</v>
      </c>
      <c r="G25" s="223" t="s">
        <v>429</v>
      </c>
      <c r="H25" s="224">
        <v>732610.12583333312</v>
      </c>
      <c r="I25" s="224">
        <v>1453010.0829027772</v>
      </c>
      <c r="J25" s="224">
        <v>2161199.8712083325</v>
      </c>
      <c r="K25" s="224">
        <v>2857179.4907499989</v>
      </c>
      <c r="L25" s="224">
        <v>3540948.9415277764</v>
      </c>
      <c r="M25" s="224">
        <v>4212508.2235416658</v>
      </c>
      <c r="N25" s="224">
        <v>4871857.3367916662</v>
      </c>
      <c r="O25" s="224">
        <v>5518996.2812777776</v>
      </c>
      <c r="P25" s="224">
        <v>6153925.057</v>
      </c>
      <c r="Q25" s="224">
        <v>6776643.6639583334</v>
      </c>
      <c r="R25" s="224">
        <v>7387152.1021527778</v>
      </c>
      <c r="S25" s="224">
        <v>7985450.3715833332</v>
      </c>
      <c r="T25" s="224">
        <v>9421645.1639166679</v>
      </c>
      <c r="U25" s="224">
        <v>10831461.342625001</v>
      </c>
      <c r="V25" s="224">
        <v>12214898.907708336</v>
      </c>
      <c r="W25" s="224">
        <v>13571957.859166671</v>
      </c>
      <c r="X25" s="224">
        <v>14902638.197000004</v>
      </c>
      <c r="Y25" s="224">
        <v>16206939.921208339</v>
      </c>
      <c r="Z25" s="224">
        <v>17484863.031791672</v>
      </c>
      <c r="AA25" s="224">
        <v>18736407.528750006</v>
      </c>
      <c r="AB25" s="224">
        <v>19961573.412083339</v>
      </c>
      <c r="AC25" s="224">
        <v>21160360.681791671</v>
      </c>
      <c r="AD25" s="224">
        <v>22332769.337875001</v>
      </c>
      <c r="AE25" s="224">
        <v>23478799.380333334</v>
      </c>
      <c r="AF25" s="224">
        <v>24593415.488333333</v>
      </c>
      <c r="AG25" s="224">
        <v>25681736.904722221</v>
      </c>
      <c r="AH25" s="224">
        <v>26743763.629499998</v>
      </c>
      <c r="AI25" s="224">
        <v>27779495.662666664</v>
      </c>
      <c r="AJ25" s="224">
        <v>28788933.004222218</v>
      </c>
      <c r="AK25" s="224">
        <v>29772075.654166661</v>
      </c>
      <c r="AL25" s="224">
        <v>30728923.612499993</v>
      </c>
      <c r="AM25" s="224">
        <v>31659476.879222214</v>
      </c>
      <c r="AN25" s="224">
        <v>32563735.454333324</v>
      </c>
      <c r="AO25" s="224">
        <v>33441699.337833323</v>
      </c>
      <c r="AP25" s="224">
        <v>34293368.529722214</v>
      </c>
      <c r="AQ25" s="224">
        <v>35118743.029999994</v>
      </c>
      <c r="AR25" s="224">
        <v>34340141.341999993</v>
      </c>
      <c r="AS25" s="224">
        <v>33561539.653999992</v>
      </c>
      <c r="AT25" s="224">
        <v>32782937.965999991</v>
      </c>
      <c r="AU25" s="224">
        <v>32004336.27799999</v>
      </c>
      <c r="AV25" s="224">
        <v>31225734.589999989</v>
      </c>
      <c r="AW25" s="224">
        <v>30447132.901999988</v>
      </c>
      <c r="AX25" s="224">
        <v>29668531.213999987</v>
      </c>
      <c r="AY25" s="224">
        <v>28889929.525999986</v>
      </c>
      <c r="AZ25" s="224">
        <v>28111327.837999985</v>
      </c>
      <c r="BA25" s="224">
        <v>27332726.149999984</v>
      </c>
      <c r="BB25" s="224">
        <v>26554124.461999983</v>
      </c>
      <c r="BC25" s="224">
        <v>25775522.773999982</v>
      </c>
      <c r="BD25" s="224">
        <v>24996921.085999981</v>
      </c>
      <c r="BE25" s="224">
        <v>24218319.39799998</v>
      </c>
      <c r="BF25" s="224">
        <v>23439717.709999979</v>
      </c>
      <c r="BG25" s="224">
        <v>22661116.021999978</v>
      </c>
      <c r="BH25" s="224">
        <v>21882514.333999977</v>
      </c>
      <c r="BI25" s="224">
        <v>21103912.645999976</v>
      </c>
      <c r="BJ25" s="224">
        <v>20325310.957999974</v>
      </c>
      <c r="BK25" s="224">
        <v>19546709.269999973</v>
      </c>
      <c r="BL25" s="224">
        <v>18768107.581999972</v>
      </c>
      <c r="BM25" s="224">
        <v>17989505.893999971</v>
      </c>
      <c r="BN25" s="224">
        <v>17210904.20599997</v>
      </c>
      <c r="BO25" s="224">
        <v>16432302.517999969</v>
      </c>
      <c r="BP25" s="224">
        <v>15653700.829999968</v>
      </c>
      <c r="BQ25" s="224">
        <v>14887309.310763856</v>
      </c>
      <c r="BR25" s="224">
        <v>14133127.960291633</v>
      </c>
      <c r="BS25" s="224">
        <v>13391156.778583299</v>
      </c>
      <c r="BT25" s="224">
        <v>12661395.765638854</v>
      </c>
      <c r="BU25" s="224">
        <v>11943844.921458298</v>
      </c>
      <c r="BV25" s="224">
        <v>11238504.246041631</v>
      </c>
      <c r="BW25" s="224">
        <v>10545373.739388853</v>
      </c>
      <c r="BX25" s="224">
        <v>9864453.4014999643</v>
      </c>
      <c r="BY25" s="224">
        <v>9195743.2323749643</v>
      </c>
      <c r="BZ25" s="224">
        <v>8539243.2320138533</v>
      </c>
      <c r="CA25" s="224">
        <v>7894953.4004166313</v>
      </c>
      <c r="CB25" s="224">
        <v>7262873.7375832982</v>
      </c>
      <c r="CC25" s="224">
        <v>6657172.6883749645</v>
      </c>
      <c r="CD25" s="224">
        <v>6077850.252791631</v>
      </c>
      <c r="CE25" s="224">
        <v>5524906.4308332978</v>
      </c>
      <c r="CF25" s="224">
        <v>4998341.2224999648</v>
      </c>
      <c r="CG25" s="224">
        <v>4498154.627791631</v>
      </c>
      <c r="CH25" s="224">
        <v>4024346.6467082975</v>
      </c>
      <c r="CI25" s="224">
        <v>3576917.2792499643</v>
      </c>
      <c r="CJ25" s="224">
        <v>3155866.5254166313</v>
      </c>
      <c r="CK25" s="224">
        <v>2761194.385208298</v>
      </c>
      <c r="CL25" s="224">
        <v>2392900.8586249645</v>
      </c>
      <c r="CM25" s="224">
        <v>2050985.9456666312</v>
      </c>
      <c r="CN25" s="224">
        <v>1735449.6463332979</v>
      </c>
      <c r="CO25" s="224">
        <v>1446208.0386110758</v>
      </c>
      <c r="CP25" s="224">
        <v>1183261.1224999647</v>
      </c>
      <c r="CQ25" s="224">
        <v>946608.89799996465</v>
      </c>
      <c r="CR25" s="224">
        <v>736251.36511107569</v>
      </c>
      <c r="CS25" s="224">
        <v>552188.52383329789</v>
      </c>
      <c r="CT25" s="224">
        <v>394420.3741666312</v>
      </c>
      <c r="CU25" s="224">
        <v>262946.91611107561</v>
      </c>
      <c r="CV25" s="224">
        <v>157768.14966663113</v>
      </c>
      <c r="CW25" s="224">
        <v>78884.074833297782</v>
      </c>
      <c r="CX25" s="224">
        <v>26294.691611075548</v>
      </c>
      <c r="CY25" s="224">
        <v>-3.5568518796935678E-8</v>
      </c>
      <c r="CZ25" s="224">
        <v>-3.5568518796935678E-8</v>
      </c>
      <c r="DA25" s="224">
        <v>-3.5568518796935678E-8</v>
      </c>
      <c r="DB25" s="224">
        <v>-3.5568518796935678E-8</v>
      </c>
      <c r="DC25" s="224">
        <v>-3.5568518796935678E-8</v>
      </c>
      <c r="DD25" s="224">
        <v>-3.5568518796935678E-8</v>
      </c>
      <c r="DE25" s="224">
        <v>-3.5568518796935678E-8</v>
      </c>
      <c r="DF25" s="224">
        <v>-3.5568518796935678E-8</v>
      </c>
      <c r="DG25" s="224">
        <v>-3.5568518796935678E-8</v>
      </c>
      <c r="DH25" s="224">
        <v>-3.5568518796935678E-8</v>
      </c>
      <c r="DI25" s="224">
        <v>-3.5568518796935678E-8</v>
      </c>
      <c r="DJ25" s="224">
        <v>-3.5568518796935678E-8</v>
      </c>
      <c r="DK25" s="224">
        <v>-3.5568518796935678E-8</v>
      </c>
      <c r="DL25" s="224">
        <v>-3.5568518796935678E-8</v>
      </c>
      <c r="DM25" s="224">
        <v>-3.5568518796935678E-8</v>
      </c>
      <c r="DN25" s="224">
        <v>-3.5568518796935678E-8</v>
      </c>
      <c r="DO25" s="224">
        <v>-3.5568518796935678E-8</v>
      </c>
      <c r="DP25" s="224">
        <v>-3.5568518796935678E-8</v>
      </c>
      <c r="DQ25" s="224">
        <v>-3.5568518796935678E-8</v>
      </c>
      <c r="DR25" s="224">
        <v>-3.5568518796935678E-8</v>
      </c>
      <c r="DS25" s="224">
        <v>-3.5568518796935678E-8</v>
      </c>
      <c r="DT25" s="224">
        <v>-3.5568518796935678E-8</v>
      </c>
      <c r="DU25" s="224">
        <v>-3.5568518796935678E-8</v>
      </c>
      <c r="DV25" s="224">
        <v>-3.5568518796935678E-8</v>
      </c>
      <c r="DW25" s="224">
        <v>-3.5568518796935678E-8</v>
      </c>
      <c r="DX25" s="224">
        <v>-3.5568518796935678E-8</v>
      </c>
      <c r="DY25" s="224">
        <v>-3.5568518796935678E-8</v>
      </c>
      <c r="DZ25" s="224">
        <v>-3.5568518796935678E-8</v>
      </c>
      <c r="EA25" s="224">
        <v>-3.5568518796935678E-8</v>
      </c>
      <c r="EB25" s="224">
        <v>-3.5568518796935678E-8</v>
      </c>
      <c r="EC25" s="224">
        <v>-3.5568518796935678E-8</v>
      </c>
      <c r="ED25" s="224">
        <v>-3.5568518796935678E-8</v>
      </c>
      <c r="EE25" s="224">
        <v>-3.5568518796935678E-8</v>
      </c>
      <c r="EF25" s="224">
        <v>-3.5568518796935678E-8</v>
      </c>
      <c r="EG25" s="224">
        <v>-3.5568518796935678E-8</v>
      </c>
      <c r="EH25" s="224">
        <v>-3.5568518796935678E-8</v>
      </c>
      <c r="EI25" s="224">
        <v>-3.5568518796935678E-8</v>
      </c>
      <c r="EJ25" s="224">
        <v>-3.5568518796935678E-8</v>
      </c>
      <c r="EK25" s="224">
        <v>-3.5568518796935678E-8</v>
      </c>
      <c r="EL25" s="224">
        <v>-3.5568518796935678E-8</v>
      </c>
      <c r="EM25" s="224">
        <v>-3.5568518796935678E-8</v>
      </c>
      <c r="EN25" s="224">
        <v>-3.5568518796935678E-8</v>
      </c>
      <c r="EO25" s="224">
        <v>-3.5568518796935678E-8</v>
      </c>
      <c r="EP25" s="224">
        <v>-3.5568518796935678E-8</v>
      </c>
      <c r="EQ25" s="224">
        <v>-3.5568518796935678E-8</v>
      </c>
      <c r="ER25" s="224">
        <v>-3.5568518796935678E-8</v>
      </c>
      <c r="ES25" s="224">
        <v>-3.5568518796935678E-8</v>
      </c>
      <c r="ET25" s="224">
        <v>-3.5568518796935678E-8</v>
      </c>
      <c r="EU25" s="224">
        <v>-3.5568518796935678E-8</v>
      </c>
      <c r="EV25" s="224">
        <v>-3.5568518796935678E-8</v>
      </c>
      <c r="EW25" s="224">
        <v>-3.5568518796935678E-8</v>
      </c>
      <c r="EX25" s="224">
        <v>-3.5568518796935678E-8</v>
      </c>
      <c r="EY25" s="224">
        <v>-3.5568518796935678E-8</v>
      </c>
      <c r="EZ25" s="224">
        <v>-3.5568518796935678E-8</v>
      </c>
      <c r="FA25" s="224">
        <v>-3.5568518796935678E-8</v>
      </c>
      <c r="FB25" s="224">
        <v>-3.5568518796935678E-8</v>
      </c>
      <c r="FC25" s="224">
        <v>-3.5568518796935678E-8</v>
      </c>
      <c r="FD25" s="224">
        <v>-3.5568518796935678E-8</v>
      </c>
      <c r="FE25" s="224">
        <v>-3.5568518796935678E-8</v>
      </c>
      <c r="FF25" s="224">
        <v>-3.5568518796935678E-8</v>
      </c>
      <c r="FG25" s="224">
        <v>-3.5568518796935678E-8</v>
      </c>
    </row>
    <row r="26" spans="2:163" x14ac:dyDescent="0.25">
      <c r="B26" s="223" t="s">
        <v>400</v>
      </c>
      <c r="C26" s="223" t="s">
        <v>421</v>
      </c>
      <c r="D26" s="223" t="s">
        <v>422</v>
      </c>
      <c r="E26" s="223">
        <v>0</v>
      </c>
      <c r="F26" s="223" t="s">
        <v>425</v>
      </c>
      <c r="G26" s="223" t="s">
        <v>430</v>
      </c>
      <c r="H26" s="224">
        <v>15359.054016666669</v>
      </c>
      <c r="I26" s="224">
        <v>30462.123799722227</v>
      </c>
      <c r="J26" s="224">
        <v>45309.209349166675</v>
      </c>
      <c r="K26" s="224">
        <v>59900.310665000012</v>
      </c>
      <c r="L26" s="224">
        <v>74235.427747222246</v>
      </c>
      <c r="M26" s="224">
        <v>88314.560595833347</v>
      </c>
      <c r="N26" s="224">
        <v>102137.70921083335</v>
      </c>
      <c r="O26" s="224">
        <v>115704.87359222224</v>
      </c>
      <c r="P26" s="224">
        <v>129016.05374000003</v>
      </c>
      <c r="Q26" s="224">
        <v>142071.24965416669</v>
      </c>
      <c r="R26" s="224">
        <v>154870.46133472223</v>
      </c>
      <c r="S26" s="224">
        <v>167413.68878166669</v>
      </c>
      <c r="T26" s="224">
        <v>197041.3485116667</v>
      </c>
      <c r="U26" s="224">
        <v>226124.01706611115</v>
      </c>
      <c r="V26" s="224">
        <v>254661.69444500003</v>
      </c>
      <c r="W26" s="224">
        <v>282654.3806483334</v>
      </c>
      <c r="X26" s="224">
        <v>310102.07567611116</v>
      </c>
      <c r="Y26" s="224">
        <v>337004.7795283334</v>
      </c>
      <c r="Z26" s="224">
        <v>363362.49220500002</v>
      </c>
      <c r="AA26" s="224">
        <v>389175.21370611119</v>
      </c>
      <c r="AB26" s="224">
        <v>414442.94403166679</v>
      </c>
      <c r="AC26" s="224">
        <v>439165.68318166677</v>
      </c>
      <c r="AD26" s="224">
        <v>463343.43115611124</v>
      </c>
      <c r="AE26" s="224">
        <v>486976.18795500009</v>
      </c>
      <c r="AF26" s="224">
        <v>510511.77232833341</v>
      </c>
      <c r="AG26" s="224">
        <v>533494.90188027779</v>
      </c>
      <c r="AH26" s="224">
        <v>555925.57661083341</v>
      </c>
      <c r="AI26" s="224">
        <v>577803.79652000009</v>
      </c>
      <c r="AJ26" s="224">
        <v>599129.56160777784</v>
      </c>
      <c r="AK26" s="224">
        <v>619902.87187416677</v>
      </c>
      <c r="AL26" s="224">
        <v>640123.72731916676</v>
      </c>
      <c r="AM26" s="224">
        <v>659792.12794277794</v>
      </c>
      <c r="AN26" s="224">
        <v>678908.07374500018</v>
      </c>
      <c r="AO26" s="224">
        <v>697471.56472583348</v>
      </c>
      <c r="AP26" s="224">
        <v>715482.60088527796</v>
      </c>
      <c r="AQ26" s="224">
        <v>732941.18222333351</v>
      </c>
      <c r="AR26" s="224">
        <v>716700.01945666689</v>
      </c>
      <c r="AS26" s="224">
        <v>700458.85669000028</v>
      </c>
      <c r="AT26" s="224">
        <v>684217.69392333366</v>
      </c>
      <c r="AU26" s="224">
        <v>667976.53115666704</v>
      </c>
      <c r="AV26" s="224">
        <v>651735.36839000043</v>
      </c>
      <c r="AW26" s="224">
        <v>635494.20562333381</v>
      </c>
      <c r="AX26" s="224">
        <v>619253.04285666719</v>
      </c>
      <c r="AY26" s="224">
        <v>603011.88009000057</v>
      </c>
      <c r="AZ26" s="224">
        <v>586770.71732333396</v>
      </c>
      <c r="BA26" s="224">
        <v>570529.55455666734</v>
      </c>
      <c r="BB26" s="224">
        <v>554288.39179000072</v>
      </c>
      <c r="BC26" s="224">
        <v>538047.2290233341</v>
      </c>
      <c r="BD26" s="224">
        <v>521806.06625666743</v>
      </c>
      <c r="BE26" s="224">
        <v>505564.90349000075</v>
      </c>
      <c r="BF26" s="224">
        <v>489323.74072333408</v>
      </c>
      <c r="BG26" s="224">
        <v>473082.5779566674</v>
      </c>
      <c r="BH26" s="224">
        <v>456841.41519000073</v>
      </c>
      <c r="BI26" s="224">
        <v>440600.25242333405</v>
      </c>
      <c r="BJ26" s="224">
        <v>424359.08965666738</v>
      </c>
      <c r="BK26" s="224">
        <v>408117.9268900007</v>
      </c>
      <c r="BL26" s="224">
        <v>391876.76412333403</v>
      </c>
      <c r="BM26" s="224">
        <v>375635.60135666735</v>
      </c>
      <c r="BN26" s="224">
        <v>359394.43859000067</v>
      </c>
      <c r="BO26" s="224">
        <v>343153.275823334</v>
      </c>
      <c r="BP26" s="224">
        <v>326912.11305666732</v>
      </c>
      <c r="BQ26" s="224">
        <v>310926.93452361174</v>
      </c>
      <c r="BR26" s="224">
        <v>295197.7402241673</v>
      </c>
      <c r="BS26" s="224">
        <v>279724.53015833395</v>
      </c>
      <c r="BT26" s="224">
        <v>264507.30432611174</v>
      </c>
      <c r="BU26" s="224">
        <v>249546.06272750063</v>
      </c>
      <c r="BV26" s="224">
        <v>234840.80536250063</v>
      </c>
      <c r="BW26" s="224">
        <v>220391.53223111172</v>
      </c>
      <c r="BX26" s="224">
        <v>206198.24333333393</v>
      </c>
      <c r="BY26" s="224">
        <v>192260.93866916726</v>
      </c>
      <c r="BZ26" s="224">
        <v>178579.6182386117</v>
      </c>
      <c r="CA26" s="224">
        <v>165154.28204166726</v>
      </c>
      <c r="CB26" s="224">
        <v>151984.93007833391</v>
      </c>
      <c r="CC26" s="224">
        <v>139360.56929055613</v>
      </c>
      <c r="CD26" s="224">
        <v>127281.1996783339</v>
      </c>
      <c r="CE26" s="224">
        <v>115746.82124166723</v>
      </c>
      <c r="CF26" s="224">
        <v>104757.43398055612</v>
      </c>
      <c r="CG26" s="224">
        <v>94313.037895000554</v>
      </c>
      <c r="CH26" s="224">
        <v>84413.632985000557</v>
      </c>
      <c r="CI26" s="224">
        <v>75059.219250556111</v>
      </c>
      <c r="CJ26" s="224">
        <v>66249.796691667216</v>
      </c>
      <c r="CK26" s="224">
        <v>57985.36530833388</v>
      </c>
      <c r="CL26" s="224">
        <v>50265.925100556102</v>
      </c>
      <c r="CM26" s="224">
        <v>43091.476068333875</v>
      </c>
      <c r="CN26" s="224">
        <v>36462.018211667208</v>
      </c>
      <c r="CO26" s="224">
        <v>30385.015176389428</v>
      </c>
      <c r="CP26" s="224">
        <v>24860.466962500537</v>
      </c>
      <c r="CQ26" s="224">
        <v>19888.373570000535</v>
      </c>
      <c r="CR26" s="224">
        <v>15468.734998889424</v>
      </c>
      <c r="CS26" s="224">
        <v>11601.551249167202</v>
      </c>
      <c r="CT26" s="224">
        <v>8286.8223208338677</v>
      </c>
      <c r="CU26" s="224">
        <v>5524.5482138894222</v>
      </c>
      <c r="CV26" s="224">
        <v>3314.7289283338664</v>
      </c>
      <c r="CW26" s="224">
        <v>1657.3644641671997</v>
      </c>
      <c r="CX26" s="224">
        <v>552.4548213894218</v>
      </c>
      <c r="CY26" s="224">
        <v>5.3285020840121433E-10</v>
      </c>
      <c r="CZ26" s="224">
        <v>5.3285020840121433E-10</v>
      </c>
      <c r="DA26" s="224">
        <v>5.3285020840121433E-10</v>
      </c>
      <c r="DB26" s="224">
        <v>5.3285020840121433E-10</v>
      </c>
      <c r="DC26" s="224">
        <v>5.3285020840121433E-10</v>
      </c>
      <c r="DD26" s="224">
        <v>5.3285020840121433E-10</v>
      </c>
      <c r="DE26" s="224">
        <v>5.3285020840121433E-10</v>
      </c>
      <c r="DF26" s="224">
        <v>5.3285020840121433E-10</v>
      </c>
      <c r="DG26" s="224">
        <v>5.3285020840121433E-10</v>
      </c>
      <c r="DH26" s="224">
        <v>5.3285020840121433E-10</v>
      </c>
      <c r="DI26" s="224">
        <v>5.3285020840121433E-10</v>
      </c>
      <c r="DJ26" s="224">
        <v>5.3285020840121433E-10</v>
      </c>
      <c r="DK26" s="224">
        <v>5.3285020840121433E-10</v>
      </c>
      <c r="DL26" s="224">
        <v>5.3285020840121433E-10</v>
      </c>
      <c r="DM26" s="224">
        <v>5.3285020840121433E-10</v>
      </c>
      <c r="DN26" s="224">
        <v>5.3285020840121433E-10</v>
      </c>
      <c r="DO26" s="224">
        <v>5.3285020840121433E-10</v>
      </c>
      <c r="DP26" s="224">
        <v>5.3285020840121433E-10</v>
      </c>
      <c r="DQ26" s="224">
        <v>5.3285020840121433E-10</v>
      </c>
      <c r="DR26" s="224">
        <v>5.3285020840121433E-10</v>
      </c>
      <c r="DS26" s="224">
        <v>5.3285020840121433E-10</v>
      </c>
      <c r="DT26" s="224">
        <v>5.3285020840121433E-10</v>
      </c>
      <c r="DU26" s="224">
        <v>5.3285020840121433E-10</v>
      </c>
      <c r="DV26" s="224">
        <v>5.3285020840121433E-10</v>
      </c>
      <c r="DW26" s="224">
        <v>5.3285020840121433E-10</v>
      </c>
      <c r="DX26" s="224">
        <v>5.3285020840121433E-10</v>
      </c>
      <c r="DY26" s="224">
        <v>5.3285020840121433E-10</v>
      </c>
      <c r="DZ26" s="224">
        <v>5.3285020840121433E-10</v>
      </c>
      <c r="EA26" s="224">
        <v>5.3285020840121433E-10</v>
      </c>
      <c r="EB26" s="224">
        <v>5.3285020840121433E-10</v>
      </c>
      <c r="EC26" s="224">
        <v>5.3285020840121433E-10</v>
      </c>
      <c r="ED26" s="224">
        <v>5.3285020840121433E-10</v>
      </c>
      <c r="EE26" s="224">
        <v>5.3285020840121433E-10</v>
      </c>
      <c r="EF26" s="224">
        <v>5.3285020840121433E-10</v>
      </c>
      <c r="EG26" s="224">
        <v>5.3285020840121433E-10</v>
      </c>
      <c r="EH26" s="224">
        <v>5.3285020840121433E-10</v>
      </c>
      <c r="EI26" s="224">
        <v>5.3285020840121433E-10</v>
      </c>
      <c r="EJ26" s="224">
        <v>5.3285020840121433E-10</v>
      </c>
      <c r="EK26" s="224">
        <v>5.3285020840121433E-10</v>
      </c>
      <c r="EL26" s="224">
        <v>5.3285020840121433E-10</v>
      </c>
      <c r="EM26" s="224">
        <v>5.3285020840121433E-10</v>
      </c>
      <c r="EN26" s="224">
        <v>5.3285020840121433E-10</v>
      </c>
      <c r="EO26" s="224">
        <v>5.3285020840121433E-10</v>
      </c>
      <c r="EP26" s="224">
        <v>5.3285020840121433E-10</v>
      </c>
      <c r="EQ26" s="224">
        <v>5.3285020840121433E-10</v>
      </c>
      <c r="ER26" s="224">
        <v>5.3285020840121433E-10</v>
      </c>
      <c r="ES26" s="224">
        <v>5.3285020840121433E-10</v>
      </c>
      <c r="ET26" s="224">
        <v>5.3285020840121433E-10</v>
      </c>
      <c r="EU26" s="224">
        <v>5.3285020840121433E-10</v>
      </c>
      <c r="EV26" s="224">
        <v>5.3285020840121433E-10</v>
      </c>
      <c r="EW26" s="224">
        <v>5.3285020840121433E-10</v>
      </c>
      <c r="EX26" s="224">
        <v>5.3285020840121433E-10</v>
      </c>
      <c r="EY26" s="224">
        <v>5.3285020840121433E-10</v>
      </c>
      <c r="EZ26" s="224">
        <v>5.3285020840121433E-10</v>
      </c>
      <c r="FA26" s="224">
        <v>5.3285020840121433E-10</v>
      </c>
      <c r="FB26" s="224">
        <v>5.3285020840121433E-10</v>
      </c>
      <c r="FC26" s="224">
        <v>5.3285020840121433E-10</v>
      </c>
      <c r="FD26" s="224">
        <v>5.3285020840121433E-10</v>
      </c>
      <c r="FE26" s="224">
        <v>5.3285020840121433E-10</v>
      </c>
      <c r="FF26" s="224">
        <v>5.3285020840121433E-10</v>
      </c>
      <c r="FG26" s="224">
        <v>5.3285020840121433E-10</v>
      </c>
    </row>
    <row r="27" spans="2:163" x14ac:dyDescent="0.25">
      <c r="B27" s="223" t="s">
        <v>400</v>
      </c>
      <c r="C27" s="223" t="s">
        <v>421</v>
      </c>
      <c r="D27" s="223" t="s">
        <v>422</v>
      </c>
      <c r="E27" s="223">
        <v>0</v>
      </c>
      <c r="F27" s="223" t="s">
        <v>425</v>
      </c>
      <c r="G27" s="223" t="s">
        <v>431</v>
      </c>
      <c r="H27" s="224">
        <v>48889.667675878445</v>
      </c>
      <c r="I27" s="224">
        <v>96964.507557158911</v>
      </c>
      <c r="J27" s="224">
        <v>144224.5196438414</v>
      </c>
      <c r="K27" s="224">
        <v>190669.70393592591</v>
      </c>
      <c r="L27" s="224">
        <v>236300.06043341247</v>
      </c>
      <c r="M27" s="224">
        <v>281115.58913630107</v>
      </c>
      <c r="N27" s="224">
        <v>325116.29004459165</v>
      </c>
      <c r="O27" s="224">
        <v>368302.16315828427</v>
      </c>
      <c r="P27" s="224">
        <v>410673.20847737894</v>
      </c>
      <c r="Q27" s="224">
        <v>452229.4260018756</v>
      </c>
      <c r="R27" s="224">
        <v>492970.81573177432</v>
      </c>
      <c r="S27" s="224">
        <v>532897.37766707502</v>
      </c>
      <c r="T27" s="224">
        <v>632667.60469061695</v>
      </c>
      <c r="U27" s="224">
        <v>730612.02903818036</v>
      </c>
      <c r="V27" s="224">
        <v>826730.65070976515</v>
      </c>
      <c r="W27" s="224">
        <v>921023.4697053713</v>
      </c>
      <c r="X27" s="224">
        <v>1013490.4860249988</v>
      </c>
      <c r="Y27" s="224">
        <v>1104131.6996686475</v>
      </c>
      <c r="Z27" s="224">
        <v>1192947.1106363176</v>
      </c>
      <c r="AA27" s="224">
        <v>1279936.718928009</v>
      </c>
      <c r="AB27" s="224">
        <v>1365100.5245437219</v>
      </c>
      <c r="AC27" s="224">
        <v>1448438.5274834561</v>
      </c>
      <c r="AD27" s="224">
        <v>1529950.7277472117</v>
      </c>
      <c r="AE27" s="224">
        <v>1609637.1253349886</v>
      </c>
      <c r="AF27" s="224">
        <v>1688914.345631395</v>
      </c>
      <c r="AG27" s="224">
        <v>1766342.152828746</v>
      </c>
      <c r="AH27" s="224">
        <v>1841920.5469270416</v>
      </c>
      <c r="AI27" s="224">
        <v>1915649.5279262818</v>
      </c>
      <c r="AJ27" s="224">
        <v>1987529.0958264666</v>
      </c>
      <c r="AK27" s="224">
        <v>2057559.2506275959</v>
      </c>
      <c r="AL27" s="224">
        <v>2125739.9923296697</v>
      </c>
      <c r="AM27" s="224">
        <v>2192071.3209326882</v>
      </c>
      <c r="AN27" s="224">
        <v>2256553.2364366511</v>
      </c>
      <c r="AO27" s="224">
        <v>2319185.7388415588</v>
      </c>
      <c r="AP27" s="224">
        <v>2379968.8281474109</v>
      </c>
      <c r="AQ27" s="224">
        <v>2438902.5043542078</v>
      </c>
      <c r="AR27" s="224">
        <v>2385021.9815186234</v>
      </c>
      <c r="AS27" s="224">
        <v>2331141.4586830391</v>
      </c>
      <c r="AT27" s="224">
        <v>2277260.9358474547</v>
      </c>
      <c r="AU27" s="224">
        <v>2223380.4130118703</v>
      </c>
      <c r="AV27" s="224">
        <v>2169499.890176286</v>
      </c>
      <c r="AW27" s="224">
        <v>2115619.3673407016</v>
      </c>
      <c r="AX27" s="224">
        <v>2061738.8445051173</v>
      </c>
      <c r="AY27" s="224">
        <v>2007858.3216695329</v>
      </c>
      <c r="AZ27" s="224">
        <v>1953977.7988339486</v>
      </c>
      <c r="BA27" s="224">
        <v>1900097.2759983642</v>
      </c>
      <c r="BB27" s="224">
        <v>1846216.7531627798</v>
      </c>
      <c r="BC27" s="224">
        <v>1792336.2303271955</v>
      </c>
      <c r="BD27" s="224">
        <v>1738455.7074916111</v>
      </c>
      <c r="BE27" s="224">
        <v>1684575.1846560268</v>
      </c>
      <c r="BF27" s="224">
        <v>1630694.6618204424</v>
      </c>
      <c r="BG27" s="224">
        <v>1576814.1389848581</v>
      </c>
      <c r="BH27" s="224">
        <v>1522933.6161492737</v>
      </c>
      <c r="BI27" s="224">
        <v>1469053.0933136893</v>
      </c>
      <c r="BJ27" s="224">
        <v>1415172.570478105</v>
      </c>
      <c r="BK27" s="224">
        <v>1361292.0476425206</v>
      </c>
      <c r="BL27" s="224">
        <v>1307411.5248069363</v>
      </c>
      <c r="BM27" s="224">
        <v>1253531.0019713519</v>
      </c>
      <c r="BN27" s="224">
        <v>1199650.4791357676</v>
      </c>
      <c r="BO27" s="224">
        <v>1145769.9563001832</v>
      </c>
      <c r="BP27" s="224">
        <v>1091889.4334645988</v>
      </c>
      <c r="BQ27" s="224">
        <v>1038823.7384236124</v>
      </c>
      <c r="BR27" s="224">
        <v>986572.87117722409</v>
      </c>
      <c r="BS27" s="224">
        <v>935136.8317254337</v>
      </c>
      <c r="BT27" s="224">
        <v>884515.62006824126</v>
      </c>
      <c r="BU27" s="224">
        <v>834709.23620564677</v>
      </c>
      <c r="BV27" s="224">
        <v>785717.68013765023</v>
      </c>
      <c r="BW27" s="224">
        <v>737540.95186425175</v>
      </c>
      <c r="BX27" s="224">
        <v>690179.05138545122</v>
      </c>
      <c r="BY27" s="224">
        <v>643631.97870124865</v>
      </c>
      <c r="BZ27" s="224">
        <v>597899.73381164402</v>
      </c>
      <c r="CA27" s="224">
        <v>552982.31671663735</v>
      </c>
      <c r="CB27" s="224">
        <v>508879.72741622868</v>
      </c>
      <c r="CC27" s="224">
        <v>466602.94079179864</v>
      </c>
      <c r="CD27" s="224">
        <v>426151.95684334723</v>
      </c>
      <c r="CE27" s="224">
        <v>387526.77557087445</v>
      </c>
      <c r="CF27" s="224">
        <v>350727.3969743803</v>
      </c>
      <c r="CG27" s="224">
        <v>315753.82105386478</v>
      </c>
      <c r="CH27" s="224">
        <v>282606.04780932789</v>
      </c>
      <c r="CI27" s="224">
        <v>251284.07724076963</v>
      </c>
      <c r="CJ27" s="224">
        <v>221787.90934819001</v>
      </c>
      <c r="CK27" s="224">
        <v>194117.54413158901</v>
      </c>
      <c r="CL27" s="224">
        <v>168272.98159096664</v>
      </c>
      <c r="CM27" s="224">
        <v>144254.2217263229</v>
      </c>
      <c r="CN27" s="224">
        <v>122061.26453765779</v>
      </c>
      <c r="CO27" s="224">
        <v>101717.7204480481</v>
      </c>
      <c r="CP27" s="224">
        <v>83223.589457493857</v>
      </c>
      <c r="CQ27" s="224">
        <v>66578.871565995039</v>
      </c>
      <c r="CR27" s="224">
        <v>51783.56677355164</v>
      </c>
      <c r="CS27" s="224">
        <v>38837.675080163666</v>
      </c>
      <c r="CT27" s="224">
        <v>27741.196485831115</v>
      </c>
      <c r="CU27" s="224">
        <v>18494.130990553989</v>
      </c>
      <c r="CV27" s="224">
        <v>11096.47859433229</v>
      </c>
      <c r="CW27" s="224">
        <v>5548.2392971660138</v>
      </c>
      <c r="CX27" s="224">
        <v>1849.4130990551635</v>
      </c>
      <c r="CY27" s="224">
        <v>-2.617071004351601E-10</v>
      </c>
      <c r="CZ27" s="224">
        <v>-2.617071004351601E-10</v>
      </c>
      <c r="DA27" s="224">
        <v>-2.617071004351601E-10</v>
      </c>
      <c r="DB27" s="224">
        <v>-2.617071004351601E-10</v>
      </c>
      <c r="DC27" s="224">
        <v>-2.617071004351601E-10</v>
      </c>
      <c r="DD27" s="224">
        <v>-2.617071004351601E-10</v>
      </c>
      <c r="DE27" s="224">
        <v>-2.617071004351601E-10</v>
      </c>
      <c r="DF27" s="224">
        <v>-2.617071004351601E-10</v>
      </c>
      <c r="DG27" s="224">
        <v>-2.617071004351601E-10</v>
      </c>
      <c r="DH27" s="224">
        <v>-2.617071004351601E-10</v>
      </c>
      <c r="DI27" s="224">
        <v>-2.617071004351601E-10</v>
      </c>
      <c r="DJ27" s="224">
        <v>-2.617071004351601E-10</v>
      </c>
      <c r="DK27" s="224">
        <v>-2.617071004351601E-10</v>
      </c>
      <c r="DL27" s="224">
        <v>-2.617071004351601E-10</v>
      </c>
      <c r="DM27" s="224">
        <v>-2.617071004351601E-10</v>
      </c>
      <c r="DN27" s="224">
        <v>-2.617071004351601E-10</v>
      </c>
      <c r="DO27" s="224">
        <v>-2.617071004351601E-10</v>
      </c>
      <c r="DP27" s="224">
        <v>-2.617071004351601E-10</v>
      </c>
      <c r="DQ27" s="224">
        <v>-2.617071004351601E-10</v>
      </c>
      <c r="DR27" s="224">
        <v>-2.617071004351601E-10</v>
      </c>
      <c r="DS27" s="224">
        <v>-2.617071004351601E-10</v>
      </c>
      <c r="DT27" s="224">
        <v>-2.617071004351601E-10</v>
      </c>
      <c r="DU27" s="224">
        <v>-2.617071004351601E-10</v>
      </c>
      <c r="DV27" s="224">
        <v>-2.617071004351601E-10</v>
      </c>
      <c r="DW27" s="224">
        <v>-2.617071004351601E-10</v>
      </c>
      <c r="DX27" s="224">
        <v>-2.617071004351601E-10</v>
      </c>
      <c r="DY27" s="224">
        <v>-2.617071004351601E-10</v>
      </c>
      <c r="DZ27" s="224">
        <v>-2.617071004351601E-10</v>
      </c>
      <c r="EA27" s="224">
        <v>-2.617071004351601E-10</v>
      </c>
      <c r="EB27" s="224">
        <v>-2.617071004351601E-10</v>
      </c>
      <c r="EC27" s="224">
        <v>-2.617071004351601E-10</v>
      </c>
      <c r="ED27" s="224">
        <v>-2.617071004351601E-10</v>
      </c>
      <c r="EE27" s="224">
        <v>-2.617071004351601E-10</v>
      </c>
      <c r="EF27" s="224">
        <v>-2.617071004351601E-10</v>
      </c>
      <c r="EG27" s="224">
        <v>-2.617071004351601E-10</v>
      </c>
      <c r="EH27" s="224">
        <v>-2.617071004351601E-10</v>
      </c>
      <c r="EI27" s="224">
        <v>-2.617071004351601E-10</v>
      </c>
      <c r="EJ27" s="224">
        <v>-2.617071004351601E-10</v>
      </c>
      <c r="EK27" s="224">
        <v>-2.617071004351601E-10</v>
      </c>
      <c r="EL27" s="224">
        <v>-2.617071004351601E-10</v>
      </c>
      <c r="EM27" s="224">
        <v>-2.617071004351601E-10</v>
      </c>
      <c r="EN27" s="224">
        <v>-2.617071004351601E-10</v>
      </c>
      <c r="EO27" s="224">
        <v>-2.617071004351601E-10</v>
      </c>
      <c r="EP27" s="224">
        <v>-2.617071004351601E-10</v>
      </c>
      <c r="EQ27" s="224">
        <v>-2.617071004351601E-10</v>
      </c>
      <c r="ER27" s="224">
        <v>-2.617071004351601E-10</v>
      </c>
      <c r="ES27" s="224">
        <v>-2.617071004351601E-10</v>
      </c>
      <c r="ET27" s="224">
        <v>-2.617071004351601E-10</v>
      </c>
      <c r="EU27" s="224">
        <v>-2.617071004351601E-10</v>
      </c>
      <c r="EV27" s="224">
        <v>-2.617071004351601E-10</v>
      </c>
      <c r="EW27" s="224">
        <v>-2.617071004351601E-10</v>
      </c>
      <c r="EX27" s="224">
        <v>-2.617071004351601E-10</v>
      </c>
      <c r="EY27" s="224">
        <v>-2.617071004351601E-10</v>
      </c>
      <c r="EZ27" s="224">
        <v>-2.617071004351601E-10</v>
      </c>
      <c r="FA27" s="224">
        <v>-2.617071004351601E-10</v>
      </c>
      <c r="FB27" s="224">
        <v>-2.617071004351601E-10</v>
      </c>
      <c r="FC27" s="224">
        <v>-2.617071004351601E-10</v>
      </c>
      <c r="FD27" s="224">
        <v>-2.617071004351601E-10</v>
      </c>
      <c r="FE27" s="224">
        <v>-2.617071004351601E-10</v>
      </c>
      <c r="FF27" s="224">
        <v>-2.617071004351601E-10</v>
      </c>
      <c r="FG27" s="224">
        <v>-2.617071004351601E-10</v>
      </c>
    </row>
    <row r="28" spans="2:163" x14ac:dyDescent="0.25">
      <c r="B28" s="223" t="s">
        <v>400</v>
      </c>
      <c r="C28" s="223" t="s">
        <v>421</v>
      </c>
      <c r="D28" s="223" t="s">
        <v>422</v>
      </c>
      <c r="E28" s="223">
        <v>0</v>
      </c>
      <c r="F28" s="223" t="s">
        <v>425</v>
      </c>
      <c r="G28" s="223" t="s">
        <v>432</v>
      </c>
      <c r="H28" s="224">
        <v>62716.834217647185</v>
      </c>
      <c r="I28" s="224">
        <v>124388.38786500024</v>
      </c>
      <c r="J28" s="224">
        <v>185014.66094205918</v>
      </c>
      <c r="K28" s="224">
        <v>244595.65344882401</v>
      </c>
      <c r="L28" s="224">
        <v>303131.36538529472</v>
      </c>
      <c r="M28" s="224">
        <v>360621.79675147135</v>
      </c>
      <c r="N28" s="224">
        <v>417066.94754735386</v>
      </c>
      <c r="O28" s="224">
        <v>472466.81777294225</v>
      </c>
      <c r="P28" s="224">
        <v>526821.40742823645</v>
      </c>
      <c r="Q28" s="224">
        <v>580130.71651323652</v>
      </c>
      <c r="R28" s="224">
        <v>632394.74502794258</v>
      </c>
      <c r="S28" s="224">
        <v>683613.49297235452</v>
      </c>
      <c r="T28" s="224">
        <v>812825.77299381187</v>
      </c>
      <c r="U28" s="224">
        <v>939675.45890085271</v>
      </c>
      <c r="V28" s="224">
        <v>1064162.5506934773</v>
      </c>
      <c r="W28" s="224">
        <v>1186287.0483716852</v>
      </c>
      <c r="X28" s="224">
        <v>1306048.9519354766</v>
      </c>
      <c r="Y28" s="224">
        <v>1423448.2613848518</v>
      </c>
      <c r="Z28" s="224">
        <v>1538484.9767198104</v>
      </c>
      <c r="AA28" s="224">
        <v>1651159.0979403525</v>
      </c>
      <c r="AB28" s="224">
        <v>1761470.6250464784</v>
      </c>
      <c r="AC28" s="224">
        <v>1869419.5580381877</v>
      </c>
      <c r="AD28" s="224">
        <v>1975005.8969154805</v>
      </c>
      <c r="AE28" s="224">
        <v>2078229.641678357</v>
      </c>
      <c r="AF28" s="224">
        <v>2182774.2985729082</v>
      </c>
      <c r="AG28" s="224">
        <v>2284894.9695822746</v>
      </c>
      <c r="AH28" s="224">
        <v>2384591.6547064562</v>
      </c>
      <c r="AI28" s="224">
        <v>2481864.3539454532</v>
      </c>
      <c r="AJ28" s="224">
        <v>2576713.0672992659</v>
      </c>
      <c r="AK28" s="224">
        <v>2669137.7947678939</v>
      </c>
      <c r="AL28" s="224">
        <v>2759138.5363513371</v>
      </c>
      <c r="AM28" s="224">
        <v>2846715.2920495956</v>
      </c>
      <c r="AN28" s="224">
        <v>2931868.0618626694</v>
      </c>
      <c r="AO28" s="224">
        <v>3014596.845790559</v>
      </c>
      <c r="AP28" s="224">
        <v>3094901.6438332638</v>
      </c>
      <c r="AQ28" s="224">
        <v>3172782.4559907839</v>
      </c>
      <c r="AR28" s="224">
        <v>3102800.1291520414</v>
      </c>
      <c r="AS28" s="224">
        <v>3032817.8023132989</v>
      </c>
      <c r="AT28" s="224">
        <v>2962835.4754745564</v>
      </c>
      <c r="AU28" s="224">
        <v>2892853.148635814</v>
      </c>
      <c r="AV28" s="224">
        <v>2822870.8217970715</v>
      </c>
      <c r="AW28" s="224">
        <v>2752888.494958329</v>
      </c>
      <c r="AX28" s="224">
        <v>2682906.1681195865</v>
      </c>
      <c r="AY28" s="224">
        <v>2612923.8412808441</v>
      </c>
      <c r="AZ28" s="224">
        <v>2542941.5144421016</v>
      </c>
      <c r="BA28" s="224">
        <v>2472959.1876033591</v>
      </c>
      <c r="BB28" s="224">
        <v>2402976.8607646166</v>
      </c>
      <c r="BC28" s="224">
        <v>2332994.5339258742</v>
      </c>
      <c r="BD28" s="224">
        <v>2263012.2070871317</v>
      </c>
      <c r="BE28" s="224">
        <v>2193029.8802483892</v>
      </c>
      <c r="BF28" s="224">
        <v>2123047.5534096467</v>
      </c>
      <c r="BG28" s="224">
        <v>2053065.2265709043</v>
      </c>
      <c r="BH28" s="224">
        <v>1983082.8997321618</v>
      </c>
      <c r="BI28" s="224">
        <v>1913100.5728934193</v>
      </c>
      <c r="BJ28" s="224">
        <v>1843118.2460546768</v>
      </c>
      <c r="BK28" s="224">
        <v>1773135.9192159344</v>
      </c>
      <c r="BL28" s="224">
        <v>1703153.5923771919</v>
      </c>
      <c r="BM28" s="224">
        <v>1633171.2655384494</v>
      </c>
      <c r="BN28" s="224">
        <v>1563188.9386997069</v>
      </c>
      <c r="BO28" s="224">
        <v>1493206.6118609644</v>
      </c>
      <c r="BP28" s="224">
        <v>1423224.285022222</v>
      </c>
      <c r="BQ28" s="224">
        <v>1354287.2387537737</v>
      </c>
      <c r="BR28" s="224">
        <v>1286395.4730556195</v>
      </c>
      <c r="BS28" s="224">
        <v>1219548.9879277595</v>
      </c>
      <c r="BT28" s="224">
        <v>1153747.7833701936</v>
      </c>
      <c r="BU28" s="224">
        <v>1088991.8593829218</v>
      </c>
      <c r="BV28" s="224">
        <v>1025281.2159659442</v>
      </c>
      <c r="BW28" s="224">
        <v>962615.85311926075</v>
      </c>
      <c r="BX28" s="224">
        <v>900995.7708428714</v>
      </c>
      <c r="BY28" s="224">
        <v>840420.96913677617</v>
      </c>
      <c r="BZ28" s="224">
        <v>780891.44800097507</v>
      </c>
      <c r="CA28" s="224">
        <v>722407.2074354681</v>
      </c>
      <c r="CB28" s="224">
        <v>664968.24744025513</v>
      </c>
      <c r="CC28" s="224">
        <v>609891.88155945868</v>
      </c>
      <c r="CD28" s="224">
        <v>557178.10979307862</v>
      </c>
      <c r="CE28" s="224">
        <v>506826.93214111507</v>
      </c>
      <c r="CF28" s="224">
        <v>458838.34860356798</v>
      </c>
      <c r="CG28" s="224">
        <v>413212.35918043734</v>
      </c>
      <c r="CH28" s="224">
        <v>369948.96387172316</v>
      </c>
      <c r="CI28" s="224">
        <v>329048.16267742543</v>
      </c>
      <c r="CJ28" s="224">
        <v>290509.95559754409</v>
      </c>
      <c r="CK28" s="224">
        <v>254334.34263207924</v>
      </c>
      <c r="CL28" s="224">
        <v>220521.32378103083</v>
      </c>
      <c r="CM28" s="224">
        <v>189070.89904439886</v>
      </c>
      <c r="CN28" s="224">
        <v>159983.06842218334</v>
      </c>
      <c r="CO28" s="224">
        <v>133319.22368515242</v>
      </c>
      <c r="CP28" s="224">
        <v>109079.36483330614</v>
      </c>
      <c r="CQ28" s="224">
        <v>87263.491866644501</v>
      </c>
      <c r="CR28" s="224">
        <v>67871.604785167481</v>
      </c>
      <c r="CS28" s="224">
        <v>50903.703588875091</v>
      </c>
      <c r="CT28" s="224">
        <v>36359.788277767329</v>
      </c>
      <c r="CU28" s="224">
        <v>24239.858851844194</v>
      </c>
      <c r="CV28" s="224">
        <v>14543.915311105684</v>
      </c>
      <c r="CW28" s="224">
        <v>7271.9576555518015</v>
      </c>
      <c r="CX28" s="224">
        <v>2423.9858851825466</v>
      </c>
      <c r="CY28" s="224">
        <v>-2.0809238776564598E-9</v>
      </c>
      <c r="CZ28" s="224">
        <v>-2.0809238776564598E-9</v>
      </c>
      <c r="DA28" s="224">
        <v>-2.0809238776564598E-9</v>
      </c>
      <c r="DB28" s="224">
        <v>-2.0809238776564598E-9</v>
      </c>
      <c r="DC28" s="224">
        <v>-2.0809238776564598E-9</v>
      </c>
      <c r="DD28" s="224">
        <v>-2.0809238776564598E-9</v>
      </c>
      <c r="DE28" s="224">
        <v>-2.0809238776564598E-9</v>
      </c>
      <c r="DF28" s="224">
        <v>-2.0809238776564598E-9</v>
      </c>
      <c r="DG28" s="224">
        <v>-2.0809238776564598E-9</v>
      </c>
      <c r="DH28" s="224">
        <v>-2.0809238776564598E-9</v>
      </c>
      <c r="DI28" s="224">
        <v>-2.0809238776564598E-9</v>
      </c>
      <c r="DJ28" s="224">
        <v>-2.0809238776564598E-9</v>
      </c>
      <c r="DK28" s="224">
        <v>-2.0809238776564598E-9</v>
      </c>
      <c r="DL28" s="224">
        <v>-2.0809238776564598E-9</v>
      </c>
      <c r="DM28" s="224">
        <v>-2.0809238776564598E-9</v>
      </c>
      <c r="DN28" s="224">
        <v>-2.0809238776564598E-9</v>
      </c>
      <c r="DO28" s="224">
        <v>-2.0809238776564598E-9</v>
      </c>
      <c r="DP28" s="224">
        <v>-2.0809238776564598E-9</v>
      </c>
      <c r="DQ28" s="224">
        <v>-2.0809238776564598E-9</v>
      </c>
      <c r="DR28" s="224">
        <v>-2.0809238776564598E-9</v>
      </c>
      <c r="DS28" s="224">
        <v>-2.0809238776564598E-9</v>
      </c>
      <c r="DT28" s="224">
        <v>-2.0809238776564598E-9</v>
      </c>
      <c r="DU28" s="224">
        <v>-2.0809238776564598E-9</v>
      </c>
      <c r="DV28" s="224">
        <v>-2.0809238776564598E-9</v>
      </c>
      <c r="DW28" s="224">
        <v>-2.0809238776564598E-9</v>
      </c>
      <c r="DX28" s="224">
        <v>-2.0809238776564598E-9</v>
      </c>
      <c r="DY28" s="224">
        <v>-2.0809238776564598E-9</v>
      </c>
      <c r="DZ28" s="224">
        <v>-2.0809238776564598E-9</v>
      </c>
      <c r="EA28" s="224">
        <v>-2.0809238776564598E-9</v>
      </c>
      <c r="EB28" s="224">
        <v>-2.0809238776564598E-9</v>
      </c>
      <c r="EC28" s="224">
        <v>-2.0809238776564598E-9</v>
      </c>
      <c r="ED28" s="224">
        <v>-2.0809238776564598E-9</v>
      </c>
      <c r="EE28" s="224">
        <v>-2.0809238776564598E-9</v>
      </c>
      <c r="EF28" s="224">
        <v>-2.0809238776564598E-9</v>
      </c>
      <c r="EG28" s="224">
        <v>-2.0809238776564598E-9</v>
      </c>
      <c r="EH28" s="224">
        <v>-2.0809238776564598E-9</v>
      </c>
      <c r="EI28" s="224">
        <v>-2.0809238776564598E-9</v>
      </c>
      <c r="EJ28" s="224">
        <v>-2.0809238776564598E-9</v>
      </c>
      <c r="EK28" s="224">
        <v>-2.0809238776564598E-9</v>
      </c>
      <c r="EL28" s="224">
        <v>-2.0809238776564598E-9</v>
      </c>
      <c r="EM28" s="224">
        <v>-2.0809238776564598E-9</v>
      </c>
      <c r="EN28" s="224">
        <v>-2.0809238776564598E-9</v>
      </c>
      <c r="EO28" s="224">
        <v>-2.0809238776564598E-9</v>
      </c>
      <c r="EP28" s="224">
        <v>-2.0809238776564598E-9</v>
      </c>
      <c r="EQ28" s="224">
        <v>-2.0809238776564598E-9</v>
      </c>
      <c r="ER28" s="224">
        <v>-2.0809238776564598E-9</v>
      </c>
      <c r="ES28" s="224">
        <v>-2.0809238776564598E-9</v>
      </c>
      <c r="ET28" s="224">
        <v>-2.0809238776564598E-9</v>
      </c>
      <c r="EU28" s="224">
        <v>-2.0809238776564598E-9</v>
      </c>
      <c r="EV28" s="224">
        <v>-2.0809238776564598E-9</v>
      </c>
      <c r="EW28" s="224">
        <v>-2.0809238776564598E-9</v>
      </c>
      <c r="EX28" s="224">
        <v>-2.0809238776564598E-9</v>
      </c>
      <c r="EY28" s="224">
        <v>-2.0809238776564598E-9</v>
      </c>
      <c r="EZ28" s="224">
        <v>-2.0809238776564598E-9</v>
      </c>
      <c r="FA28" s="224">
        <v>-2.0809238776564598E-9</v>
      </c>
      <c r="FB28" s="224">
        <v>-2.0809238776564598E-9</v>
      </c>
      <c r="FC28" s="224">
        <v>-2.0809238776564598E-9</v>
      </c>
      <c r="FD28" s="224">
        <v>-2.0809238776564598E-9</v>
      </c>
      <c r="FE28" s="224">
        <v>-2.0809238776564598E-9</v>
      </c>
      <c r="FF28" s="224">
        <v>-2.0809238776564598E-9</v>
      </c>
      <c r="FG28" s="224">
        <v>-2.0809238776564598E-9</v>
      </c>
    </row>
    <row r="29" spans="2:163" x14ac:dyDescent="0.25">
      <c r="B29" s="223" t="s">
        <v>400</v>
      </c>
      <c r="C29" s="223" t="s">
        <v>421</v>
      </c>
      <c r="D29" s="223" t="s">
        <v>422</v>
      </c>
      <c r="E29" s="223">
        <v>0</v>
      </c>
      <c r="F29" s="223" t="s">
        <v>425</v>
      </c>
      <c r="G29" s="223" t="s">
        <v>433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4">
        <v>0</v>
      </c>
      <c r="N29" s="224">
        <v>0</v>
      </c>
      <c r="O29" s="224">
        <v>0</v>
      </c>
      <c r="P29" s="224">
        <v>0</v>
      </c>
      <c r="Q29" s="224">
        <v>0</v>
      </c>
      <c r="R29" s="224">
        <v>0</v>
      </c>
      <c r="S29" s="224">
        <v>0</v>
      </c>
      <c r="T29" s="224">
        <v>0</v>
      </c>
      <c r="U29" s="224">
        <v>0</v>
      </c>
      <c r="V29" s="224">
        <v>0</v>
      </c>
      <c r="W29" s="224">
        <v>0</v>
      </c>
      <c r="X29" s="224">
        <v>0</v>
      </c>
      <c r="Y29" s="224">
        <v>0</v>
      </c>
      <c r="Z29" s="224">
        <v>0</v>
      </c>
      <c r="AA29" s="224">
        <v>0</v>
      </c>
      <c r="AB29" s="224">
        <v>0</v>
      </c>
      <c r="AC29" s="224">
        <v>0</v>
      </c>
      <c r="AD29" s="224">
        <v>0</v>
      </c>
      <c r="AE29" s="224">
        <v>0</v>
      </c>
      <c r="AF29" s="224">
        <v>0</v>
      </c>
      <c r="AG29" s="224">
        <v>0</v>
      </c>
      <c r="AH29" s="224">
        <v>0</v>
      </c>
      <c r="AI29" s="224">
        <v>0</v>
      </c>
      <c r="AJ29" s="224">
        <v>0</v>
      </c>
      <c r="AK29" s="224">
        <v>0</v>
      </c>
      <c r="AL29" s="224">
        <v>0</v>
      </c>
      <c r="AM29" s="224">
        <v>0</v>
      </c>
      <c r="AN29" s="224">
        <v>0</v>
      </c>
      <c r="AO29" s="224">
        <v>0</v>
      </c>
      <c r="AP29" s="224">
        <v>0</v>
      </c>
      <c r="AQ29" s="224">
        <v>0</v>
      </c>
      <c r="AR29" s="224">
        <v>0</v>
      </c>
      <c r="AS29" s="224">
        <v>0</v>
      </c>
      <c r="AT29" s="224">
        <v>0</v>
      </c>
      <c r="AU29" s="224">
        <v>0</v>
      </c>
      <c r="AV29" s="224">
        <v>0</v>
      </c>
      <c r="AW29" s="224">
        <v>0</v>
      </c>
      <c r="AX29" s="224">
        <v>0</v>
      </c>
      <c r="AY29" s="224">
        <v>0</v>
      </c>
      <c r="AZ29" s="224">
        <v>0</v>
      </c>
      <c r="BA29" s="224">
        <v>0</v>
      </c>
      <c r="BB29" s="224">
        <v>0</v>
      </c>
      <c r="BC29" s="224">
        <v>0</v>
      </c>
      <c r="BD29" s="224">
        <v>0</v>
      </c>
      <c r="BE29" s="224">
        <v>0</v>
      </c>
      <c r="BF29" s="224">
        <v>0</v>
      </c>
      <c r="BG29" s="224">
        <v>0</v>
      </c>
      <c r="BH29" s="224">
        <v>0</v>
      </c>
      <c r="BI29" s="224">
        <v>0</v>
      </c>
      <c r="BJ29" s="224">
        <v>0</v>
      </c>
      <c r="BK29" s="224">
        <v>0</v>
      </c>
      <c r="BL29" s="224">
        <v>0</v>
      </c>
      <c r="BM29" s="224">
        <v>0</v>
      </c>
      <c r="BN29" s="224">
        <v>0</v>
      </c>
      <c r="BO29" s="224">
        <v>0</v>
      </c>
      <c r="BP29" s="224">
        <v>0</v>
      </c>
      <c r="BQ29" s="224">
        <v>0</v>
      </c>
      <c r="BR29" s="224">
        <v>0</v>
      </c>
      <c r="BS29" s="224">
        <v>0</v>
      </c>
      <c r="BT29" s="224">
        <v>0</v>
      </c>
      <c r="BU29" s="224">
        <v>0</v>
      </c>
      <c r="BV29" s="224">
        <v>0</v>
      </c>
      <c r="BW29" s="224">
        <v>0</v>
      </c>
      <c r="BX29" s="224">
        <v>0</v>
      </c>
      <c r="BY29" s="224">
        <v>0</v>
      </c>
      <c r="BZ29" s="224">
        <v>0</v>
      </c>
      <c r="CA29" s="224">
        <v>0</v>
      </c>
      <c r="CB29" s="224">
        <v>0</v>
      </c>
      <c r="CC29" s="224">
        <v>0</v>
      </c>
      <c r="CD29" s="224">
        <v>0</v>
      </c>
      <c r="CE29" s="224">
        <v>0</v>
      </c>
      <c r="CF29" s="224">
        <v>0</v>
      </c>
      <c r="CG29" s="224">
        <v>0</v>
      </c>
      <c r="CH29" s="224">
        <v>0</v>
      </c>
      <c r="CI29" s="224">
        <v>0</v>
      </c>
      <c r="CJ29" s="224">
        <v>0</v>
      </c>
      <c r="CK29" s="224">
        <v>0</v>
      </c>
      <c r="CL29" s="224">
        <v>0</v>
      </c>
      <c r="CM29" s="224">
        <v>0</v>
      </c>
      <c r="CN29" s="224">
        <v>0</v>
      </c>
      <c r="CO29" s="224">
        <v>0</v>
      </c>
      <c r="CP29" s="224">
        <v>0</v>
      </c>
      <c r="CQ29" s="224">
        <v>0</v>
      </c>
      <c r="CR29" s="224">
        <v>0</v>
      </c>
      <c r="CS29" s="224">
        <v>0</v>
      </c>
      <c r="CT29" s="224">
        <v>0</v>
      </c>
      <c r="CU29" s="224">
        <v>0</v>
      </c>
      <c r="CV29" s="224">
        <v>0</v>
      </c>
      <c r="CW29" s="224">
        <v>0</v>
      </c>
      <c r="CX29" s="224">
        <v>0</v>
      </c>
      <c r="CY29" s="224">
        <v>0</v>
      </c>
      <c r="CZ29" s="224">
        <v>0</v>
      </c>
      <c r="DA29" s="224">
        <v>0</v>
      </c>
      <c r="DB29" s="224">
        <v>0</v>
      </c>
      <c r="DC29" s="224">
        <v>0</v>
      </c>
      <c r="DD29" s="224">
        <v>0</v>
      </c>
      <c r="DE29" s="224">
        <v>0</v>
      </c>
      <c r="DF29" s="224">
        <v>0</v>
      </c>
      <c r="DG29" s="224">
        <v>0</v>
      </c>
      <c r="DH29" s="224">
        <v>0</v>
      </c>
      <c r="DI29" s="224">
        <v>0</v>
      </c>
      <c r="DJ29" s="224">
        <v>0</v>
      </c>
      <c r="DK29" s="224">
        <v>0</v>
      </c>
      <c r="DL29" s="224">
        <v>0</v>
      </c>
      <c r="DM29" s="224">
        <v>0</v>
      </c>
      <c r="DN29" s="224">
        <v>0</v>
      </c>
      <c r="DO29" s="224">
        <v>0</v>
      </c>
      <c r="DP29" s="224">
        <v>0</v>
      </c>
      <c r="DQ29" s="224">
        <v>0</v>
      </c>
      <c r="DR29" s="224">
        <v>0</v>
      </c>
      <c r="DS29" s="224">
        <v>0</v>
      </c>
      <c r="DT29" s="224">
        <v>0</v>
      </c>
      <c r="DU29" s="224">
        <v>0</v>
      </c>
      <c r="DV29" s="224">
        <v>0</v>
      </c>
      <c r="DW29" s="224">
        <v>0</v>
      </c>
      <c r="DX29" s="224">
        <v>0</v>
      </c>
      <c r="DY29" s="224">
        <v>0</v>
      </c>
      <c r="DZ29" s="224">
        <v>0</v>
      </c>
      <c r="EA29" s="224">
        <v>0</v>
      </c>
      <c r="EB29" s="224">
        <v>0</v>
      </c>
      <c r="EC29" s="224">
        <v>0</v>
      </c>
      <c r="ED29" s="224">
        <v>0</v>
      </c>
      <c r="EE29" s="224">
        <v>0</v>
      </c>
      <c r="EF29" s="224">
        <v>0</v>
      </c>
      <c r="EG29" s="224">
        <v>0</v>
      </c>
      <c r="EH29" s="224">
        <v>0</v>
      </c>
      <c r="EI29" s="224">
        <v>0</v>
      </c>
      <c r="EJ29" s="224">
        <v>0</v>
      </c>
      <c r="EK29" s="224">
        <v>0</v>
      </c>
      <c r="EL29" s="224">
        <v>0</v>
      </c>
      <c r="EM29" s="224">
        <v>0</v>
      </c>
      <c r="EN29" s="224">
        <v>0</v>
      </c>
      <c r="EO29" s="224">
        <v>0</v>
      </c>
      <c r="EP29" s="224">
        <v>0</v>
      </c>
      <c r="EQ29" s="224">
        <v>0</v>
      </c>
      <c r="ER29" s="224">
        <v>0</v>
      </c>
      <c r="ES29" s="224">
        <v>0</v>
      </c>
      <c r="ET29" s="224">
        <v>0</v>
      </c>
      <c r="EU29" s="224">
        <v>0</v>
      </c>
      <c r="EV29" s="224">
        <v>0</v>
      </c>
      <c r="EW29" s="224">
        <v>0</v>
      </c>
      <c r="EX29" s="224">
        <v>0</v>
      </c>
      <c r="EY29" s="224">
        <v>0</v>
      </c>
      <c r="EZ29" s="224">
        <v>0</v>
      </c>
      <c r="FA29" s="224">
        <v>0</v>
      </c>
      <c r="FB29" s="224">
        <v>0</v>
      </c>
      <c r="FC29" s="224">
        <v>0</v>
      </c>
      <c r="FD29" s="224">
        <v>0</v>
      </c>
      <c r="FE29" s="224">
        <v>0</v>
      </c>
      <c r="FF29" s="224">
        <v>0</v>
      </c>
      <c r="FG29" s="224">
        <v>0</v>
      </c>
    </row>
    <row r="30" spans="2:163" x14ac:dyDescent="0.25">
      <c r="B30" s="223" t="s">
        <v>400</v>
      </c>
      <c r="C30" s="223" t="s">
        <v>421</v>
      </c>
      <c r="D30" s="223" t="s">
        <v>422</v>
      </c>
      <c r="E30" s="223">
        <v>0</v>
      </c>
      <c r="F30" s="223" t="s">
        <v>425</v>
      </c>
      <c r="G30" s="223" t="s">
        <v>434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224">
        <v>0</v>
      </c>
      <c r="N30" s="224">
        <v>0</v>
      </c>
      <c r="O30" s="224">
        <v>0</v>
      </c>
      <c r="P30" s="224">
        <v>0</v>
      </c>
      <c r="Q30" s="224">
        <v>0</v>
      </c>
      <c r="R30" s="224">
        <v>0</v>
      </c>
      <c r="S30" s="224">
        <v>0</v>
      </c>
      <c r="T30" s="224">
        <v>0</v>
      </c>
      <c r="U30" s="224">
        <v>0</v>
      </c>
      <c r="V30" s="224">
        <v>0</v>
      </c>
      <c r="W30" s="224">
        <v>0</v>
      </c>
      <c r="X30" s="224">
        <v>0</v>
      </c>
      <c r="Y30" s="224">
        <v>0</v>
      </c>
      <c r="Z30" s="224">
        <v>0</v>
      </c>
      <c r="AA30" s="224">
        <v>0</v>
      </c>
      <c r="AB30" s="224">
        <v>0</v>
      </c>
      <c r="AC30" s="224">
        <v>0</v>
      </c>
      <c r="AD30" s="224">
        <v>0</v>
      </c>
      <c r="AE30" s="224">
        <v>0</v>
      </c>
      <c r="AF30" s="224">
        <v>0</v>
      </c>
      <c r="AG30" s="224">
        <v>0</v>
      </c>
      <c r="AH30" s="224">
        <v>0</v>
      </c>
      <c r="AI30" s="224">
        <v>0</v>
      </c>
      <c r="AJ30" s="224">
        <v>0</v>
      </c>
      <c r="AK30" s="224">
        <v>0</v>
      </c>
      <c r="AL30" s="224">
        <v>0</v>
      </c>
      <c r="AM30" s="224">
        <v>0</v>
      </c>
      <c r="AN30" s="224">
        <v>0</v>
      </c>
      <c r="AO30" s="224">
        <v>0</v>
      </c>
      <c r="AP30" s="224">
        <v>0</v>
      </c>
      <c r="AQ30" s="224">
        <v>0</v>
      </c>
      <c r="AR30" s="224">
        <v>0</v>
      </c>
      <c r="AS30" s="224">
        <v>0</v>
      </c>
      <c r="AT30" s="224">
        <v>0</v>
      </c>
      <c r="AU30" s="224">
        <v>0</v>
      </c>
      <c r="AV30" s="224">
        <v>0</v>
      </c>
      <c r="AW30" s="224">
        <v>0</v>
      </c>
      <c r="AX30" s="224">
        <v>0</v>
      </c>
      <c r="AY30" s="224">
        <v>0</v>
      </c>
      <c r="AZ30" s="224">
        <v>0</v>
      </c>
      <c r="BA30" s="224">
        <v>0</v>
      </c>
      <c r="BB30" s="224">
        <v>0</v>
      </c>
      <c r="BC30" s="224">
        <v>0</v>
      </c>
      <c r="BD30" s="224">
        <v>0</v>
      </c>
      <c r="BE30" s="224">
        <v>0</v>
      </c>
      <c r="BF30" s="224">
        <v>0</v>
      </c>
      <c r="BG30" s="224">
        <v>0</v>
      </c>
      <c r="BH30" s="224">
        <v>0</v>
      </c>
      <c r="BI30" s="224">
        <v>0</v>
      </c>
      <c r="BJ30" s="224">
        <v>0</v>
      </c>
      <c r="BK30" s="224">
        <v>0</v>
      </c>
      <c r="BL30" s="224">
        <v>0</v>
      </c>
      <c r="BM30" s="224">
        <v>0</v>
      </c>
      <c r="BN30" s="224">
        <v>0</v>
      </c>
      <c r="BO30" s="224">
        <v>0</v>
      </c>
      <c r="BP30" s="224">
        <v>0</v>
      </c>
      <c r="BQ30" s="224">
        <v>0</v>
      </c>
      <c r="BR30" s="224">
        <v>0</v>
      </c>
      <c r="BS30" s="224">
        <v>0</v>
      </c>
      <c r="BT30" s="224">
        <v>0</v>
      </c>
      <c r="BU30" s="224">
        <v>0</v>
      </c>
      <c r="BV30" s="224">
        <v>0</v>
      </c>
      <c r="BW30" s="224">
        <v>0</v>
      </c>
      <c r="BX30" s="224">
        <v>0</v>
      </c>
      <c r="BY30" s="224">
        <v>0</v>
      </c>
      <c r="BZ30" s="224">
        <v>0</v>
      </c>
      <c r="CA30" s="224">
        <v>0</v>
      </c>
      <c r="CB30" s="224">
        <v>0</v>
      </c>
      <c r="CC30" s="224">
        <v>0</v>
      </c>
      <c r="CD30" s="224">
        <v>0</v>
      </c>
      <c r="CE30" s="224">
        <v>0</v>
      </c>
      <c r="CF30" s="224">
        <v>0</v>
      </c>
      <c r="CG30" s="224">
        <v>0</v>
      </c>
      <c r="CH30" s="224">
        <v>0</v>
      </c>
      <c r="CI30" s="224">
        <v>0</v>
      </c>
      <c r="CJ30" s="224">
        <v>0</v>
      </c>
      <c r="CK30" s="224">
        <v>0</v>
      </c>
      <c r="CL30" s="224">
        <v>0</v>
      </c>
      <c r="CM30" s="224">
        <v>0</v>
      </c>
      <c r="CN30" s="224">
        <v>0</v>
      </c>
      <c r="CO30" s="224">
        <v>0</v>
      </c>
      <c r="CP30" s="224">
        <v>0</v>
      </c>
      <c r="CQ30" s="224">
        <v>0</v>
      </c>
      <c r="CR30" s="224">
        <v>0</v>
      </c>
      <c r="CS30" s="224">
        <v>0</v>
      </c>
      <c r="CT30" s="224">
        <v>0</v>
      </c>
      <c r="CU30" s="224">
        <v>0</v>
      </c>
      <c r="CV30" s="224">
        <v>0</v>
      </c>
      <c r="CW30" s="224">
        <v>0</v>
      </c>
      <c r="CX30" s="224">
        <v>0</v>
      </c>
      <c r="CY30" s="224">
        <v>0</v>
      </c>
      <c r="CZ30" s="224">
        <v>0</v>
      </c>
      <c r="DA30" s="224">
        <v>0</v>
      </c>
      <c r="DB30" s="224">
        <v>0</v>
      </c>
      <c r="DC30" s="224">
        <v>0</v>
      </c>
      <c r="DD30" s="224">
        <v>0</v>
      </c>
      <c r="DE30" s="224">
        <v>0</v>
      </c>
      <c r="DF30" s="224">
        <v>0</v>
      </c>
      <c r="DG30" s="224">
        <v>0</v>
      </c>
      <c r="DH30" s="224">
        <v>0</v>
      </c>
      <c r="DI30" s="224">
        <v>0</v>
      </c>
      <c r="DJ30" s="224">
        <v>0</v>
      </c>
      <c r="DK30" s="224">
        <v>0</v>
      </c>
      <c r="DL30" s="224">
        <v>0</v>
      </c>
      <c r="DM30" s="224">
        <v>0</v>
      </c>
      <c r="DN30" s="224">
        <v>0</v>
      </c>
      <c r="DO30" s="224">
        <v>0</v>
      </c>
      <c r="DP30" s="224">
        <v>0</v>
      </c>
      <c r="DQ30" s="224">
        <v>0</v>
      </c>
      <c r="DR30" s="224">
        <v>0</v>
      </c>
      <c r="DS30" s="224">
        <v>0</v>
      </c>
      <c r="DT30" s="224">
        <v>0</v>
      </c>
      <c r="DU30" s="224">
        <v>0</v>
      </c>
      <c r="DV30" s="224">
        <v>0</v>
      </c>
      <c r="DW30" s="224">
        <v>0</v>
      </c>
      <c r="DX30" s="224">
        <v>0</v>
      </c>
      <c r="DY30" s="224">
        <v>0</v>
      </c>
      <c r="DZ30" s="224">
        <v>0</v>
      </c>
      <c r="EA30" s="224">
        <v>0</v>
      </c>
      <c r="EB30" s="224">
        <v>0</v>
      </c>
      <c r="EC30" s="224">
        <v>0</v>
      </c>
      <c r="ED30" s="224">
        <v>0</v>
      </c>
      <c r="EE30" s="224">
        <v>0</v>
      </c>
      <c r="EF30" s="224">
        <v>0</v>
      </c>
      <c r="EG30" s="224">
        <v>0</v>
      </c>
      <c r="EH30" s="224">
        <v>0</v>
      </c>
      <c r="EI30" s="224">
        <v>0</v>
      </c>
      <c r="EJ30" s="224">
        <v>0</v>
      </c>
      <c r="EK30" s="224">
        <v>0</v>
      </c>
      <c r="EL30" s="224">
        <v>0</v>
      </c>
      <c r="EM30" s="224">
        <v>0</v>
      </c>
      <c r="EN30" s="224">
        <v>0</v>
      </c>
      <c r="EO30" s="224">
        <v>0</v>
      </c>
      <c r="EP30" s="224">
        <v>0</v>
      </c>
      <c r="EQ30" s="224">
        <v>0</v>
      </c>
      <c r="ER30" s="224">
        <v>0</v>
      </c>
      <c r="ES30" s="224">
        <v>0</v>
      </c>
      <c r="ET30" s="224">
        <v>0</v>
      </c>
      <c r="EU30" s="224">
        <v>0</v>
      </c>
      <c r="EV30" s="224">
        <v>0</v>
      </c>
      <c r="EW30" s="224">
        <v>0</v>
      </c>
      <c r="EX30" s="224">
        <v>0</v>
      </c>
      <c r="EY30" s="224">
        <v>0</v>
      </c>
      <c r="EZ30" s="224">
        <v>0</v>
      </c>
      <c r="FA30" s="224">
        <v>0</v>
      </c>
      <c r="FB30" s="224">
        <v>0</v>
      </c>
      <c r="FC30" s="224">
        <v>0</v>
      </c>
      <c r="FD30" s="224">
        <v>0</v>
      </c>
      <c r="FE30" s="224">
        <v>0</v>
      </c>
      <c r="FF30" s="224">
        <v>0</v>
      </c>
      <c r="FG30" s="224">
        <v>0</v>
      </c>
    </row>
    <row r="31" spans="2:163" x14ac:dyDescent="0.25">
      <c r="B31" s="223" t="s">
        <v>400</v>
      </c>
      <c r="C31" s="223" t="s">
        <v>421</v>
      </c>
      <c r="D31" s="223" t="s">
        <v>422</v>
      </c>
      <c r="E31" s="223">
        <v>0</v>
      </c>
      <c r="F31" s="223" t="s">
        <v>435</v>
      </c>
      <c r="G31" s="223" t="s">
        <v>436</v>
      </c>
      <c r="H31" s="224">
        <v>398053.50000000006</v>
      </c>
      <c r="I31" s="224">
        <v>789472.77500000014</v>
      </c>
      <c r="J31" s="224">
        <v>1174257.8250000002</v>
      </c>
      <c r="K31" s="224">
        <v>1552408.6500000001</v>
      </c>
      <c r="L31" s="224">
        <v>1923925.2500000002</v>
      </c>
      <c r="M31" s="224">
        <v>2288807.6250000005</v>
      </c>
      <c r="N31" s="224">
        <v>2647055.7750000004</v>
      </c>
      <c r="O31" s="224">
        <v>2998669.7</v>
      </c>
      <c r="P31" s="224">
        <v>3343649.4000000004</v>
      </c>
      <c r="Q31" s="224">
        <v>3681994.8750000005</v>
      </c>
      <c r="R31" s="224">
        <v>4013706.1250000005</v>
      </c>
      <c r="S31" s="224">
        <v>4338783.1500000013</v>
      </c>
      <c r="T31" s="224">
        <v>5009337.4785714298</v>
      </c>
      <c r="U31" s="224">
        <v>5667389.0566666685</v>
      </c>
      <c r="V31" s="224">
        <v>6312937.8842857163</v>
      </c>
      <c r="W31" s="224">
        <v>6945983.9614285734</v>
      </c>
      <c r="X31" s="224">
        <v>7566527.2880952405</v>
      </c>
      <c r="Y31" s="224">
        <v>8174567.8642857168</v>
      </c>
      <c r="Z31" s="224">
        <v>8770105.6900000032</v>
      </c>
      <c r="AA31" s="224">
        <v>9353140.7652380988</v>
      </c>
      <c r="AB31" s="224">
        <v>9923673.0900000036</v>
      </c>
      <c r="AC31" s="224">
        <v>10481702.664285718</v>
      </c>
      <c r="AD31" s="224">
        <v>11027229.488095241</v>
      </c>
      <c r="AE31" s="224">
        <v>11560253.561428575</v>
      </c>
      <c r="AF31" s="224">
        <v>12090803.284285719</v>
      </c>
      <c r="AG31" s="224">
        <v>12608683.116666671</v>
      </c>
      <c r="AH31" s="224">
        <v>13113893.058571434</v>
      </c>
      <c r="AI31" s="224">
        <v>13606433.110000005</v>
      </c>
      <c r="AJ31" s="224">
        <v>14086303.270952387</v>
      </c>
      <c r="AK31" s="224">
        <v>14553503.541428577</v>
      </c>
      <c r="AL31" s="224">
        <v>15008033.921428578</v>
      </c>
      <c r="AM31" s="224">
        <v>15449894.410952387</v>
      </c>
      <c r="AN31" s="224">
        <v>15879085.010000007</v>
      </c>
      <c r="AO31" s="224">
        <v>16295605.718571436</v>
      </c>
      <c r="AP31" s="224">
        <v>16699456.536666675</v>
      </c>
      <c r="AQ31" s="224">
        <v>17090637.46428572</v>
      </c>
      <c r="AR31" s="224">
        <v>16708955.072857149</v>
      </c>
      <c r="AS31" s="224">
        <v>16327272.681428578</v>
      </c>
      <c r="AT31" s="224">
        <v>15945590.290000007</v>
      </c>
      <c r="AU31" s="224">
        <v>15563907.898571435</v>
      </c>
      <c r="AV31" s="224">
        <v>15182225.507142864</v>
      </c>
      <c r="AW31" s="224">
        <v>14800543.115714293</v>
      </c>
      <c r="AX31" s="224">
        <v>14418860.724285722</v>
      </c>
      <c r="AY31" s="224">
        <v>14037178.332857151</v>
      </c>
      <c r="AZ31" s="224">
        <v>13655495.941428579</v>
      </c>
      <c r="BA31" s="224">
        <v>13273813.550000008</v>
      </c>
      <c r="BB31" s="224">
        <v>12892131.158571437</v>
      </c>
      <c r="BC31" s="224">
        <v>12510448.767142866</v>
      </c>
      <c r="BD31" s="224">
        <v>12128766.375714295</v>
      </c>
      <c r="BE31" s="224">
        <v>11747083.984285723</v>
      </c>
      <c r="BF31" s="224">
        <v>11365401.592857152</v>
      </c>
      <c r="BG31" s="224">
        <v>10983719.201428581</v>
      </c>
      <c r="BH31" s="224">
        <v>10602036.81000001</v>
      </c>
      <c r="BI31" s="224">
        <v>10220354.418571439</v>
      </c>
      <c r="BJ31" s="224">
        <v>9838672.0271428674</v>
      </c>
      <c r="BK31" s="224">
        <v>9456989.6357142963</v>
      </c>
      <c r="BL31" s="224">
        <v>9075307.2442857251</v>
      </c>
      <c r="BM31" s="224">
        <v>8693624.8528571539</v>
      </c>
      <c r="BN31" s="224">
        <v>8311942.4614285827</v>
      </c>
      <c r="BO31" s="224">
        <v>7930260.0700000115</v>
      </c>
      <c r="BP31" s="224">
        <v>7548577.6785714403</v>
      </c>
      <c r="BQ31" s="224">
        <v>7173529.5121428687</v>
      </c>
      <c r="BR31" s="224">
        <v>6805115.5707142968</v>
      </c>
      <c r="BS31" s="224">
        <v>6443335.8542857254</v>
      </c>
      <c r="BT31" s="224">
        <v>6088190.3628571536</v>
      </c>
      <c r="BU31" s="224">
        <v>5739679.0964285824</v>
      </c>
      <c r="BV31" s="224">
        <v>5397802.0550000109</v>
      </c>
      <c r="BW31" s="224">
        <v>5062559.2385714389</v>
      </c>
      <c r="BX31" s="224">
        <v>4733950.6471428676</v>
      </c>
      <c r="BY31" s="224">
        <v>4411976.2807142958</v>
      </c>
      <c r="BZ31" s="224">
        <v>4096636.1392857241</v>
      </c>
      <c r="CA31" s="224">
        <v>3787930.2228571526</v>
      </c>
      <c r="CB31" s="224">
        <v>3485858.5314285811</v>
      </c>
      <c r="CC31" s="224">
        <v>3196289.5904762</v>
      </c>
      <c r="CD31" s="224">
        <v>2919223.4000000092</v>
      </c>
      <c r="CE31" s="224">
        <v>2654659.9600000093</v>
      </c>
      <c r="CF31" s="224">
        <v>2402599.2704761997</v>
      </c>
      <c r="CG31" s="224">
        <v>2163041.3314285805</v>
      </c>
      <c r="CH31" s="224">
        <v>1935986.1428571518</v>
      </c>
      <c r="CI31" s="224">
        <v>1721433.7047619135</v>
      </c>
      <c r="CJ31" s="224">
        <v>1519384.0171428658</v>
      </c>
      <c r="CK31" s="224">
        <v>1329837.0800000085</v>
      </c>
      <c r="CL31" s="224">
        <v>1152792.8933333417</v>
      </c>
      <c r="CM31" s="224">
        <v>988251.4571428654</v>
      </c>
      <c r="CN31" s="224">
        <v>836212.7714285797</v>
      </c>
      <c r="CO31" s="224">
        <v>696843.97619048436</v>
      </c>
      <c r="CP31" s="224">
        <v>570145.07142857951</v>
      </c>
      <c r="CQ31" s="224">
        <v>456116.0571428652</v>
      </c>
      <c r="CR31" s="224">
        <v>354756.93333334138</v>
      </c>
      <c r="CS31" s="224">
        <v>266067.70000000804</v>
      </c>
      <c r="CT31" s="224">
        <v>190048.35714286519</v>
      </c>
      <c r="CU31" s="224">
        <v>126698.9047619128</v>
      </c>
      <c r="CV31" s="224">
        <v>76019.342857150885</v>
      </c>
      <c r="CW31" s="224">
        <v>38009.671428579451</v>
      </c>
      <c r="CX31" s="224">
        <v>12669.890476198496</v>
      </c>
      <c r="CY31" s="224">
        <v>8.0181052908301353E-9</v>
      </c>
      <c r="CZ31" s="224">
        <v>8.0181052908301353E-9</v>
      </c>
      <c r="DA31" s="224">
        <v>8.0181052908301353E-9</v>
      </c>
      <c r="DB31" s="224">
        <v>8.0181052908301353E-9</v>
      </c>
      <c r="DC31" s="224">
        <v>8.0181052908301353E-9</v>
      </c>
      <c r="DD31" s="224">
        <v>8.0181052908301353E-9</v>
      </c>
      <c r="DE31" s="224">
        <v>8.0181052908301353E-9</v>
      </c>
      <c r="DF31" s="224">
        <v>8.0181052908301353E-9</v>
      </c>
      <c r="DG31" s="224">
        <v>8.0181052908301353E-9</v>
      </c>
      <c r="DH31" s="224">
        <v>8.0181052908301353E-9</v>
      </c>
      <c r="DI31" s="224">
        <v>8.0181052908301353E-9</v>
      </c>
      <c r="DJ31" s="224">
        <v>8.0181052908301353E-9</v>
      </c>
      <c r="DK31" s="224">
        <v>8.0181052908301353E-9</v>
      </c>
      <c r="DL31" s="224">
        <v>8.0181052908301353E-9</v>
      </c>
      <c r="DM31" s="224">
        <v>8.0181052908301353E-9</v>
      </c>
      <c r="DN31" s="224">
        <v>8.0181052908301353E-9</v>
      </c>
      <c r="DO31" s="224">
        <v>8.0181052908301353E-9</v>
      </c>
      <c r="DP31" s="224">
        <v>8.0181052908301353E-9</v>
      </c>
      <c r="DQ31" s="224">
        <v>8.0181052908301353E-9</v>
      </c>
      <c r="DR31" s="224">
        <v>8.0181052908301353E-9</v>
      </c>
      <c r="DS31" s="224">
        <v>8.0181052908301353E-9</v>
      </c>
      <c r="DT31" s="224">
        <v>8.0181052908301353E-9</v>
      </c>
      <c r="DU31" s="224">
        <v>8.0181052908301353E-9</v>
      </c>
      <c r="DV31" s="224">
        <v>8.0181052908301353E-9</v>
      </c>
      <c r="DW31" s="224">
        <v>8.0181052908301353E-9</v>
      </c>
      <c r="DX31" s="224">
        <v>8.0181052908301353E-9</v>
      </c>
      <c r="DY31" s="224">
        <v>8.0181052908301353E-9</v>
      </c>
      <c r="DZ31" s="224">
        <v>8.0181052908301353E-9</v>
      </c>
      <c r="EA31" s="224">
        <v>8.0181052908301353E-9</v>
      </c>
      <c r="EB31" s="224">
        <v>8.0181052908301353E-9</v>
      </c>
      <c r="EC31" s="224">
        <v>8.0181052908301353E-9</v>
      </c>
      <c r="ED31" s="224">
        <v>8.0181052908301353E-9</v>
      </c>
      <c r="EE31" s="224">
        <v>8.0181052908301353E-9</v>
      </c>
      <c r="EF31" s="224">
        <v>8.0181052908301353E-9</v>
      </c>
      <c r="EG31" s="224">
        <v>8.0181052908301353E-9</v>
      </c>
      <c r="EH31" s="224">
        <v>8.0181052908301353E-9</v>
      </c>
      <c r="EI31" s="224">
        <v>8.0181052908301353E-9</v>
      </c>
      <c r="EJ31" s="224">
        <v>8.0181052908301353E-9</v>
      </c>
      <c r="EK31" s="224">
        <v>8.0181052908301353E-9</v>
      </c>
      <c r="EL31" s="224">
        <v>8.0181052908301353E-9</v>
      </c>
      <c r="EM31" s="224">
        <v>8.0181052908301353E-9</v>
      </c>
      <c r="EN31" s="224">
        <v>8.0181052908301353E-9</v>
      </c>
      <c r="EO31" s="224">
        <v>8.0181052908301353E-9</v>
      </c>
      <c r="EP31" s="224">
        <v>8.0181052908301353E-9</v>
      </c>
      <c r="EQ31" s="224">
        <v>8.0181052908301353E-9</v>
      </c>
      <c r="ER31" s="224">
        <v>8.0181052908301353E-9</v>
      </c>
      <c r="ES31" s="224">
        <v>8.0181052908301353E-9</v>
      </c>
      <c r="ET31" s="224">
        <v>8.0181052908301353E-9</v>
      </c>
      <c r="EU31" s="224">
        <v>8.0181052908301353E-9</v>
      </c>
      <c r="EV31" s="224">
        <v>8.0181052908301353E-9</v>
      </c>
      <c r="EW31" s="224">
        <v>8.0181052908301353E-9</v>
      </c>
      <c r="EX31" s="224">
        <v>8.0181052908301353E-9</v>
      </c>
      <c r="EY31" s="224">
        <v>8.0181052908301353E-9</v>
      </c>
      <c r="EZ31" s="224">
        <v>8.0181052908301353E-9</v>
      </c>
      <c r="FA31" s="224">
        <v>8.0181052908301353E-9</v>
      </c>
      <c r="FB31" s="224">
        <v>8.0181052908301353E-9</v>
      </c>
      <c r="FC31" s="224">
        <v>8.0181052908301353E-9</v>
      </c>
      <c r="FD31" s="224">
        <v>8.0181052908301353E-9</v>
      </c>
      <c r="FE31" s="224">
        <v>8.0181052908301353E-9</v>
      </c>
      <c r="FF31" s="224">
        <v>8.0181052908301353E-9</v>
      </c>
      <c r="FG31" s="224">
        <v>8.0181052908301353E-9</v>
      </c>
    </row>
    <row r="32" spans="2:163" x14ac:dyDescent="0.25">
      <c r="B32" s="223" t="s">
        <v>400</v>
      </c>
      <c r="C32" s="223" t="s">
        <v>421</v>
      </c>
      <c r="D32" s="223" t="s">
        <v>422</v>
      </c>
      <c r="E32" s="223">
        <v>0</v>
      </c>
      <c r="F32" s="223" t="s">
        <v>435</v>
      </c>
      <c r="G32" s="223" t="s">
        <v>437</v>
      </c>
      <c r="H32" s="224">
        <v>0</v>
      </c>
      <c r="I32" s="224">
        <v>0</v>
      </c>
      <c r="J32" s="224">
        <v>0</v>
      </c>
      <c r="K32" s="224">
        <v>0</v>
      </c>
      <c r="L32" s="224">
        <v>0</v>
      </c>
      <c r="M32" s="224">
        <v>0</v>
      </c>
      <c r="N32" s="224">
        <v>0</v>
      </c>
      <c r="O32" s="224">
        <v>0</v>
      </c>
      <c r="P32" s="224">
        <v>0</v>
      </c>
      <c r="Q32" s="224">
        <v>0</v>
      </c>
      <c r="R32" s="224">
        <v>0</v>
      </c>
      <c r="S32" s="224">
        <v>0</v>
      </c>
      <c r="T32" s="224">
        <v>0</v>
      </c>
      <c r="U32" s="224">
        <v>0</v>
      </c>
      <c r="V32" s="224">
        <v>0</v>
      </c>
      <c r="W32" s="224">
        <v>0</v>
      </c>
      <c r="X32" s="224">
        <v>0</v>
      </c>
      <c r="Y32" s="224">
        <v>0</v>
      </c>
      <c r="Z32" s="224">
        <v>0</v>
      </c>
      <c r="AA32" s="224">
        <v>0</v>
      </c>
      <c r="AB32" s="224">
        <v>0</v>
      </c>
      <c r="AC32" s="224">
        <v>0</v>
      </c>
      <c r="AD32" s="224">
        <v>0</v>
      </c>
      <c r="AE32" s="224">
        <v>0</v>
      </c>
      <c r="AF32" s="224">
        <v>0</v>
      </c>
      <c r="AG32" s="224">
        <v>0</v>
      </c>
      <c r="AH32" s="224">
        <v>0</v>
      </c>
      <c r="AI32" s="224">
        <v>0</v>
      </c>
      <c r="AJ32" s="224">
        <v>0</v>
      </c>
      <c r="AK32" s="224">
        <v>0</v>
      </c>
      <c r="AL32" s="224">
        <v>0</v>
      </c>
      <c r="AM32" s="224">
        <v>0</v>
      </c>
      <c r="AN32" s="224">
        <v>0</v>
      </c>
      <c r="AO32" s="224">
        <v>0</v>
      </c>
      <c r="AP32" s="224">
        <v>0</v>
      </c>
      <c r="AQ32" s="224">
        <v>0</v>
      </c>
      <c r="AR32" s="224">
        <v>0</v>
      </c>
      <c r="AS32" s="224">
        <v>0</v>
      </c>
      <c r="AT32" s="224">
        <v>0</v>
      </c>
      <c r="AU32" s="224">
        <v>0</v>
      </c>
      <c r="AV32" s="224">
        <v>0</v>
      </c>
      <c r="AW32" s="224">
        <v>0</v>
      </c>
      <c r="AX32" s="224">
        <v>0</v>
      </c>
      <c r="AY32" s="224">
        <v>0</v>
      </c>
      <c r="AZ32" s="224">
        <v>0</v>
      </c>
      <c r="BA32" s="224">
        <v>0</v>
      </c>
      <c r="BB32" s="224">
        <v>0</v>
      </c>
      <c r="BC32" s="224">
        <v>0</v>
      </c>
      <c r="BD32" s="224">
        <v>0</v>
      </c>
      <c r="BE32" s="224">
        <v>0</v>
      </c>
      <c r="BF32" s="224">
        <v>0</v>
      </c>
      <c r="BG32" s="224">
        <v>0</v>
      </c>
      <c r="BH32" s="224">
        <v>0</v>
      </c>
      <c r="BI32" s="224">
        <v>0</v>
      </c>
      <c r="BJ32" s="224">
        <v>0</v>
      </c>
      <c r="BK32" s="224">
        <v>0</v>
      </c>
      <c r="BL32" s="224">
        <v>0</v>
      </c>
      <c r="BM32" s="224">
        <v>0</v>
      </c>
      <c r="BN32" s="224">
        <v>0</v>
      </c>
      <c r="BO32" s="224">
        <v>0</v>
      </c>
      <c r="BP32" s="224">
        <v>0</v>
      </c>
      <c r="BQ32" s="224">
        <v>0</v>
      </c>
      <c r="BR32" s="224">
        <v>0</v>
      </c>
      <c r="BS32" s="224">
        <v>0</v>
      </c>
      <c r="BT32" s="224">
        <v>0</v>
      </c>
      <c r="BU32" s="224">
        <v>0</v>
      </c>
      <c r="BV32" s="224">
        <v>0</v>
      </c>
      <c r="BW32" s="224">
        <v>0</v>
      </c>
      <c r="BX32" s="224">
        <v>0</v>
      </c>
      <c r="BY32" s="224">
        <v>0</v>
      </c>
      <c r="BZ32" s="224">
        <v>0</v>
      </c>
      <c r="CA32" s="224">
        <v>0</v>
      </c>
      <c r="CB32" s="224">
        <v>0</v>
      </c>
      <c r="CC32" s="224">
        <v>0</v>
      </c>
      <c r="CD32" s="224">
        <v>0</v>
      </c>
      <c r="CE32" s="224">
        <v>0</v>
      </c>
      <c r="CF32" s="224">
        <v>0</v>
      </c>
      <c r="CG32" s="224">
        <v>0</v>
      </c>
      <c r="CH32" s="224">
        <v>0</v>
      </c>
      <c r="CI32" s="224">
        <v>0</v>
      </c>
      <c r="CJ32" s="224">
        <v>0</v>
      </c>
      <c r="CK32" s="224">
        <v>0</v>
      </c>
      <c r="CL32" s="224">
        <v>0</v>
      </c>
      <c r="CM32" s="224">
        <v>0</v>
      </c>
      <c r="CN32" s="224">
        <v>0</v>
      </c>
      <c r="CO32" s="224">
        <v>0</v>
      </c>
      <c r="CP32" s="224">
        <v>0</v>
      </c>
      <c r="CQ32" s="224">
        <v>0</v>
      </c>
      <c r="CR32" s="224">
        <v>0</v>
      </c>
      <c r="CS32" s="224">
        <v>0</v>
      </c>
      <c r="CT32" s="224">
        <v>0</v>
      </c>
      <c r="CU32" s="224">
        <v>0</v>
      </c>
      <c r="CV32" s="224">
        <v>0</v>
      </c>
      <c r="CW32" s="224">
        <v>0</v>
      </c>
      <c r="CX32" s="224">
        <v>0</v>
      </c>
      <c r="CY32" s="224">
        <v>0</v>
      </c>
      <c r="CZ32" s="224">
        <v>0</v>
      </c>
      <c r="DA32" s="224">
        <v>0</v>
      </c>
      <c r="DB32" s="224">
        <v>0</v>
      </c>
      <c r="DC32" s="224">
        <v>0</v>
      </c>
      <c r="DD32" s="224">
        <v>0</v>
      </c>
      <c r="DE32" s="224">
        <v>0</v>
      </c>
      <c r="DF32" s="224">
        <v>0</v>
      </c>
      <c r="DG32" s="224">
        <v>0</v>
      </c>
      <c r="DH32" s="224">
        <v>0</v>
      </c>
      <c r="DI32" s="224">
        <v>0</v>
      </c>
      <c r="DJ32" s="224">
        <v>0</v>
      </c>
      <c r="DK32" s="224">
        <v>0</v>
      </c>
      <c r="DL32" s="224">
        <v>0</v>
      </c>
      <c r="DM32" s="224">
        <v>0</v>
      </c>
      <c r="DN32" s="224">
        <v>0</v>
      </c>
      <c r="DO32" s="224">
        <v>0</v>
      </c>
      <c r="DP32" s="224">
        <v>0</v>
      </c>
      <c r="DQ32" s="224">
        <v>0</v>
      </c>
      <c r="DR32" s="224">
        <v>0</v>
      </c>
      <c r="DS32" s="224">
        <v>0</v>
      </c>
      <c r="DT32" s="224">
        <v>0</v>
      </c>
      <c r="DU32" s="224">
        <v>0</v>
      </c>
      <c r="DV32" s="224">
        <v>0</v>
      </c>
      <c r="DW32" s="224">
        <v>0</v>
      </c>
      <c r="DX32" s="224">
        <v>0</v>
      </c>
      <c r="DY32" s="224">
        <v>0</v>
      </c>
      <c r="DZ32" s="224">
        <v>0</v>
      </c>
      <c r="EA32" s="224">
        <v>0</v>
      </c>
      <c r="EB32" s="224">
        <v>0</v>
      </c>
      <c r="EC32" s="224">
        <v>0</v>
      </c>
      <c r="ED32" s="224">
        <v>0</v>
      </c>
      <c r="EE32" s="224">
        <v>0</v>
      </c>
      <c r="EF32" s="224">
        <v>0</v>
      </c>
      <c r="EG32" s="224">
        <v>0</v>
      </c>
      <c r="EH32" s="224">
        <v>0</v>
      </c>
      <c r="EI32" s="224">
        <v>0</v>
      </c>
      <c r="EJ32" s="224">
        <v>0</v>
      </c>
      <c r="EK32" s="224">
        <v>0</v>
      </c>
      <c r="EL32" s="224">
        <v>0</v>
      </c>
      <c r="EM32" s="224">
        <v>0</v>
      </c>
      <c r="EN32" s="224">
        <v>0</v>
      </c>
      <c r="EO32" s="224">
        <v>0</v>
      </c>
      <c r="EP32" s="224">
        <v>0</v>
      </c>
      <c r="EQ32" s="224">
        <v>0</v>
      </c>
      <c r="ER32" s="224">
        <v>0</v>
      </c>
      <c r="ES32" s="224">
        <v>0</v>
      </c>
      <c r="ET32" s="224">
        <v>0</v>
      </c>
      <c r="EU32" s="224">
        <v>0</v>
      </c>
      <c r="EV32" s="224">
        <v>0</v>
      </c>
      <c r="EW32" s="224">
        <v>0</v>
      </c>
      <c r="EX32" s="224">
        <v>0</v>
      </c>
      <c r="EY32" s="224">
        <v>0</v>
      </c>
      <c r="EZ32" s="224">
        <v>0</v>
      </c>
      <c r="FA32" s="224">
        <v>0</v>
      </c>
      <c r="FB32" s="224">
        <v>0</v>
      </c>
      <c r="FC32" s="224">
        <v>0</v>
      </c>
      <c r="FD32" s="224">
        <v>0</v>
      </c>
      <c r="FE32" s="224">
        <v>0</v>
      </c>
      <c r="FF32" s="224">
        <v>0</v>
      </c>
      <c r="FG32" s="224">
        <v>0</v>
      </c>
    </row>
    <row r="33" spans="2:163" x14ac:dyDescent="0.25">
      <c r="B33" s="223" t="s">
        <v>400</v>
      </c>
      <c r="C33" s="223" t="s">
        <v>421</v>
      </c>
      <c r="D33" s="223" t="s">
        <v>422</v>
      </c>
      <c r="E33" s="223">
        <v>0</v>
      </c>
      <c r="F33" s="223" t="s">
        <v>435</v>
      </c>
      <c r="G33" s="223" t="s">
        <v>438</v>
      </c>
      <c r="H33" s="224">
        <v>22895.635714285716</v>
      </c>
      <c r="I33" s="224">
        <v>45409.677500000005</v>
      </c>
      <c r="J33" s="224">
        <v>67542.125357142868</v>
      </c>
      <c r="K33" s="224">
        <v>89292.979285714304</v>
      </c>
      <c r="L33" s="224">
        <v>110662.2392857143</v>
      </c>
      <c r="M33" s="224">
        <v>131649.90535714285</v>
      </c>
      <c r="N33" s="224">
        <v>152255.97750000001</v>
      </c>
      <c r="O33" s="224">
        <v>172480.45571428572</v>
      </c>
      <c r="P33" s="224">
        <v>192323.34</v>
      </c>
      <c r="Q33" s="224">
        <v>211784.63035714286</v>
      </c>
      <c r="R33" s="224">
        <v>230864.32678571428</v>
      </c>
      <c r="S33" s="224">
        <v>249562.42928571429</v>
      </c>
      <c r="T33" s="224">
        <v>304650.71642857144</v>
      </c>
      <c r="U33" s="224">
        <v>358744.54666666669</v>
      </c>
      <c r="V33" s="224">
        <v>411843.92</v>
      </c>
      <c r="W33" s="224">
        <v>463948.83642857138</v>
      </c>
      <c r="X33" s="224">
        <v>515059.29595238087</v>
      </c>
      <c r="Y33" s="224">
        <v>565175.29857142852</v>
      </c>
      <c r="Z33" s="224">
        <v>614296.84428571421</v>
      </c>
      <c r="AA33" s="224">
        <v>662423.93309523806</v>
      </c>
      <c r="AB33" s="224">
        <v>709556.56499999994</v>
      </c>
      <c r="AC33" s="224">
        <v>755694.74</v>
      </c>
      <c r="AD33" s="224">
        <v>800838.45809523808</v>
      </c>
      <c r="AE33" s="224">
        <v>844987.71928571421</v>
      </c>
      <c r="AF33" s="224">
        <v>889530.13785714284</v>
      </c>
      <c r="AG33" s="224">
        <v>933054.97261904762</v>
      </c>
      <c r="AH33" s="224">
        <v>975562.22357142856</v>
      </c>
      <c r="AI33" s="224">
        <v>1017051.8907142858</v>
      </c>
      <c r="AJ33" s="224">
        <v>1057523.9740476192</v>
      </c>
      <c r="AK33" s="224">
        <v>1096978.4735714286</v>
      </c>
      <c r="AL33" s="224">
        <v>1135415.3892857141</v>
      </c>
      <c r="AM33" s="224">
        <v>1172834.7211904759</v>
      </c>
      <c r="AN33" s="224">
        <v>1209236.469285714</v>
      </c>
      <c r="AO33" s="224">
        <v>1244620.6335714282</v>
      </c>
      <c r="AP33" s="224">
        <v>1278987.2140476187</v>
      </c>
      <c r="AQ33" s="224">
        <v>1312336.2107142853</v>
      </c>
      <c r="AR33" s="224">
        <v>1283612.5949999995</v>
      </c>
      <c r="AS33" s="224">
        <v>1254888.9792857138</v>
      </c>
      <c r="AT33" s="224">
        <v>1226165.363571428</v>
      </c>
      <c r="AU33" s="224">
        <v>1197441.7478571422</v>
      </c>
      <c r="AV33" s="224">
        <v>1168718.1321428565</v>
      </c>
      <c r="AW33" s="224">
        <v>1139994.5164285707</v>
      </c>
      <c r="AX33" s="224">
        <v>1111270.900714285</v>
      </c>
      <c r="AY33" s="224">
        <v>1082547.2849999992</v>
      </c>
      <c r="AZ33" s="224">
        <v>1053823.6692857135</v>
      </c>
      <c r="BA33" s="224">
        <v>1025100.0535714277</v>
      </c>
      <c r="BB33" s="224">
        <v>996376.43785714195</v>
      </c>
      <c r="BC33" s="224">
        <v>967652.8221428562</v>
      </c>
      <c r="BD33" s="224">
        <v>938929.20642857044</v>
      </c>
      <c r="BE33" s="224">
        <v>910205.59071428468</v>
      </c>
      <c r="BF33" s="224">
        <v>881481.97499999893</v>
      </c>
      <c r="BG33" s="224">
        <v>852758.35928571317</v>
      </c>
      <c r="BH33" s="224">
        <v>824034.74357142742</v>
      </c>
      <c r="BI33" s="224">
        <v>795311.12785714166</v>
      </c>
      <c r="BJ33" s="224">
        <v>766587.51214285591</v>
      </c>
      <c r="BK33" s="224">
        <v>737863.89642857015</v>
      </c>
      <c r="BL33" s="224">
        <v>709140.2807142844</v>
      </c>
      <c r="BM33" s="224">
        <v>680416.66499999864</v>
      </c>
      <c r="BN33" s="224">
        <v>651693.04928571288</v>
      </c>
      <c r="BO33" s="224">
        <v>622969.43357142713</v>
      </c>
      <c r="BP33" s="224">
        <v>594245.81785714137</v>
      </c>
      <c r="BQ33" s="224">
        <v>565903.79607142706</v>
      </c>
      <c r="BR33" s="224">
        <v>537943.36821428419</v>
      </c>
      <c r="BS33" s="224">
        <v>510364.53428571275</v>
      </c>
      <c r="BT33" s="224">
        <v>483167.29428571276</v>
      </c>
      <c r="BU33" s="224">
        <v>456351.64821428421</v>
      </c>
      <c r="BV33" s="224">
        <v>429917.59607142711</v>
      </c>
      <c r="BW33" s="224">
        <v>403865.13785714138</v>
      </c>
      <c r="BX33" s="224">
        <v>378194.2735714271</v>
      </c>
      <c r="BY33" s="224">
        <v>352905.00321428425</v>
      </c>
      <c r="BZ33" s="224">
        <v>327997.32678571285</v>
      </c>
      <c r="CA33" s="224">
        <v>303471.24428571283</v>
      </c>
      <c r="CB33" s="224">
        <v>279326.75571428426</v>
      </c>
      <c r="CC33" s="224">
        <v>256176.72404761758</v>
      </c>
      <c r="CD33" s="224">
        <v>234021.1492857128</v>
      </c>
      <c r="CE33" s="224">
        <v>212860.03142856993</v>
      </c>
      <c r="CF33" s="224">
        <v>192693.37047618898</v>
      </c>
      <c r="CG33" s="224">
        <v>173521.16642856994</v>
      </c>
      <c r="CH33" s="224">
        <v>155343.41928571279</v>
      </c>
      <c r="CI33" s="224">
        <v>138160.12904761755</v>
      </c>
      <c r="CJ33" s="224">
        <v>121971.29571428421</v>
      </c>
      <c r="CK33" s="224">
        <v>106776.91928571278</v>
      </c>
      <c r="CL33" s="224">
        <v>92576.999761903251</v>
      </c>
      <c r="CM33" s="224">
        <v>79371.537142855625</v>
      </c>
      <c r="CN33" s="224">
        <v>67160.531428569913</v>
      </c>
      <c r="CO33" s="224">
        <v>55967.109523808009</v>
      </c>
      <c r="CP33" s="224">
        <v>45791.271428569911</v>
      </c>
      <c r="CQ33" s="224">
        <v>36633.01714285562</v>
      </c>
      <c r="CR33" s="224">
        <v>28492.346666665144</v>
      </c>
      <c r="CS33" s="224">
        <v>21369.259999998478</v>
      </c>
      <c r="CT33" s="224">
        <v>15263.75714285562</v>
      </c>
      <c r="CU33" s="224">
        <v>10175.838095236573</v>
      </c>
      <c r="CV33" s="224">
        <v>6105.502857141335</v>
      </c>
      <c r="CW33" s="224">
        <v>3052.7514285699062</v>
      </c>
      <c r="CX33" s="224">
        <v>1017.5838095222869</v>
      </c>
      <c r="CY33" s="224">
        <v>-1.5228351912810467E-9</v>
      </c>
      <c r="CZ33" s="224">
        <v>-1.5228351912810467E-9</v>
      </c>
      <c r="DA33" s="224">
        <v>-1.5228351912810467E-9</v>
      </c>
      <c r="DB33" s="224">
        <v>-1.5228351912810467E-9</v>
      </c>
      <c r="DC33" s="224">
        <v>-1.5228351912810467E-9</v>
      </c>
      <c r="DD33" s="224">
        <v>-1.5228351912810467E-9</v>
      </c>
      <c r="DE33" s="224">
        <v>-1.5228351912810467E-9</v>
      </c>
      <c r="DF33" s="224">
        <v>-1.5228351912810467E-9</v>
      </c>
      <c r="DG33" s="224">
        <v>-1.5228351912810467E-9</v>
      </c>
      <c r="DH33" s="224">
        <v>-1.5228351912810467E-9</v>
      </c>
      <c r="DI33" s="224">
        <v>-1.5228351912810467E-9</v>
      </c>
      <c r="DJ33" s="224">
        <v>-1.5228351912810467E-9</v>
      </c>
      <c r="DK33" s="224">
        <v>-1.5228351912810467E-9</v>
      </c>
      <c r="DL33" s="224">
        <v>-1.5228351912810467E-9</v>
      </c>
      <c r="DM33" s="224">
        <v>-1.5228351912810467E-9</v>
      </c>
      <c r="DN33" s="224">
        <v>-1.5228351912810467E-9</v>
      </c>
      <c r="DO33" s="224">
        <v>-1.5228351912810467E-9</v>
      </c>
      <c r="DP33" s="224">
        <v>-1.5228351912810467E-9</v>
      </c>
      <c r="DQ33" s="224">
        <v>-1.5228351912810467E-9</v>
      </c>
      <c r="DR33" s="224">
        <v>-1.5228351912810467E-9</v>
      </c>
      <c r="DS33" s="224">
        <v>-1.5228351912810467E-9</v>
      </c>
      <c r="DT33" s="224">
        <v>-1.5228351912810467E-9</v>
      </c>
      <c r="DU33" s="224">
        <v>-1.5228351912810467E-9</v>
      </c>
      <c r="DV33" s="224">
        <v>-1.5228351912810467E-9</v>
      </c>
      <c r="DW33" s="224">
        <v>-1.5228351912810467E-9</v>
      </c>
      <c r="DX33" s="224">
        <v>-1.5228351912810467E-9</v>
      </c>
      <c r="DY33" s="224">
        <v>-1.5228351912810467E-9</v>
      </c>
      <c r="DZ33" s="224">
        <v>-1.5228351912810467E-9</v>
      </c>
      <c r="EA33" s="224">
        <v>-1.5228351912810467E-9</v>
      </c>
      <c r="EB33" s="224">
        <v>-1.5228351912810467E-9</v>
      </c>
      <c r="EC33" s="224">
        <v>-1.5228351912810467E-9</v>
      </c>
      <c r="ED33" s="224">
        <v>-1.5228351912810467E-9</v>
      </c>
      <c r="EE33" s="224">
        <v>-1.5228351912810467E-9</v>
      </c>
      <c r="EF33" s="224">
        <v>-1.5228351912810467E-9</v>
      </c>
      <c r="EG33" s="224">
        <v>-1.5228351912810467E-9</v>
      </c>
      <c r="EH33" s="224">
        <v>-1.5228351912810467E-9</v>
      </c>
      <c r="EI33" s="224">
        <v>-1.5228351912810467E-9</v>
      </c>
      <c r="EJ33" s="224">
        <v>-1.5228351912810467E-9</v>
      </c>
      <c r="EK33" s="224">
        <v>-1.5228351912810467E-9</v>
      </c>
      <c r="EL33" s="224">
        <v>-1.5228351912810467E-9</v>
      </c>
      <c r="EM33" s="224">
        <v>-1.5228351912810467E-9</v>
      </c>
      <c r="EN33" s="224">
        <v>-1.5228351912810467E-9</v>
      </c>
      <c r="EO33" s="224">
        <v>-1.5228351912810467E-9</v>
      </c>
      <c r="EP33" s="224">
        <v>-1.5228351912810467E-9</v>
      </c>
      <c r="EQ33" s="224">
        <v>-1.5228351912810467E-9</v>
      </c>
      <c r="ER33" s="224">
        <v>-1.5228351912810467E-9</v>
      </c>
      <c r="ES33" s="224">
        <v>-1.5228351912810467E-9</v>
      </c>
      <c r="ET33" s="224">
        <v>-1.5228351912810467E-9</v>
      </c>
      <c r="EU33" s="224">
        <v>-1.5228351912810467E-9</v>
      </c>
      <c r="EV33" s="224">
        <v>-1.5228351912810467E-9</v>
      </c>
      <c r="EW33" s="224">
        <v>-1.5228351912810467E-9</v>
      </c>
      <c r="EX33" s="224">
        <v>-1.5228351912810467E-9</v>
      </c>
      <c r="EY33" s="224">
        <v>-1.5228351912810467E-9</v>
      </c>
      <c r="EZ33" s="224">
        <v>-1.5228351912810467E-9</v>
      </c>
      <c r="FA33" s="224">
        <v>-1.5228351912810467E-9</v>
      </c>
      <c r="FB33" s="224">
        <v>-1.5228351912810467E-9</v>
      </c>
      <c r="FC33" s="224">
        <v>-1.5228351912810467E-9</v>
      </c>
      <c r="FD33" s="224">
        <v>-1.5228351912810467E-9</v>
      </c>
      <c r="FE33" s="224">
        <v>-1.5228351912810467E-9</v>
      </c>
      <c r="FF33" s="224">
        <v>-1.5228351912810467E-9</v>
      </c>
      <c r="FG33" s="224">
        <v>-1.5228351912810467E-9</v>
      </c>
    </row>
    <row r="34" spans="2:163" x14ac:dyDescent="0.25">
      <c r="B34" s="223" t="s">
        <v>400</v>
      </c>
      <c r="C34" s="223" t="s">
        <v>421</v>
      </c>
      <c r="D34" s="223" t="s">
        <v>422</v>
      </c>
      <c r="E34" s="223">
        <v>0</v>
      </c>
      <c r="F34" s="223" t="s">
        <v>435</v>
      </c>
      <c r="G34" s="223" t="s">
        <v>439</v>
      </c>
      <c r="H34" s="224">
        <v>0</v>
      </c>
      <c r="I34" s="224">
        <v>0</v>
      </c>
      <c r="J34" s="224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4">
        <v>0</v>
      </c>
      <c r="X34" s="224">
        <v>0</v>
      </c>
      <c r="Y34" s="224">
        <v>0</v>
      </c>
      <c r="Z34" s="224">
        <v>0</v>
      </c>
      <c r="AA34" s="224">
        <v>0</v>
      </c>
      <c r="AB34" s="224">
        <v>0</v>
      </c>
      <c r="AC34" s="224">
        <v>0</v>
      </c>
      <c r="AD34" s="224">
        <v>0</v>
      </c>
      <c r="AE34" s="224">
        <v>0</v>
      </c>
      <c r="AF34" s="224">
        <v>0</v>
      </c>
      <c r="AG34" s="224">
        <v>0</v>
      </c>
      <c r="AH34" s="224">
        <v>0</v>
      </c>
      <c r="AI34" s="224">
        <v>0</v>
      </c>
      <c r="AJ34" s="224">
        <v>0</v>
      </c>
      <c r="AK34" s="224">
        <v>0</v>
      </c>
      <c r="AL34" s="224">
        <v>0</v>
      </c>
      <c r="AM34" s="224">
        <v>0</v>
      </c>
      <c r="AN34" s="224">
        <v>0</v>
      </c>
      <c r="AO34" s="224">
        <v>0</v>
      </c>
      <c r="AP34" s="224">
        <v>0</v>
      </c>
      <c r="AQ34" s="224">
        <v>0</v>
      </c>
      <c r="AR34" s="224">
        <v>0</v>
      </c>
      <c r="AS34" s="224">
        <v>0</v>
      </c>
      <c r="AT34" s="224">
        <v>0</v>
      </c>
      <c r="AU34" s="224">
        <v>0</v>
      </c>
      <c r="AV34" s="224">
        <v>0</v>
      </c>
      <c r="AW34" s="224">
        <v>0</v>
      </c>
      <c r="AX34" s="224">
        <v>0</v>
      </c>
      <c r="AY34" s="224">
        <v>0</v>
      </c>
      <c r="AZ34" s="224">
        <v>0</v>
      </c>
      <c r="BA34" s="224">
        <v>0</v>
      </c>
      <c r="BB34" s="224">
        <v>0</v>
      </c>
      <c r="BC34" s="224">
        <v>0</v>
      </c>
      <c r="BD34" s="224">
        <v>0</v>
      </c>
      <c r="BE34" s="224">
        <v>0</v>
      </c>
      <c r="BF34" s="224">
        <v>0</v>
      </c>
      <c r="BG34" s="224">
        <v>0</v>
      </c>
      <c r="BH34" s="224">
        <v>0</v>
      </c>
      <c r="BI34" s="224">
        <v>0</v>
      </c>
      <c r="BJ34" s="224">
        <v>0</v>
      </c>
      <c r="BK34" s="224">
        <v>0</v>
      </c>
      <c r="BL34" s="224">
        <v>0</v>
      </c>
      <c r="BM34" s="224">
        <v>0</v>
      </c>
      <c r="BN34" s="224">
        <v>0</v>
      </c>
      <c r="BO34" s="224">
        <v>0</v>
      </c>
      <c r="BP34" s="224">
        <v>0</v>
      </c>
      <c r="BQ34" s="224">
        <v>0</v>
      </c>
      <c r="BR34" s="224">
        <v>0</v>
      </c>
      <c r="BS34" s="224">
        <v>0</v>
      </c>
      <c r="BT34" s="224">
        <v>0</v>
      </c>
      <c r="BU34" s="224">
        <v>0</v>
      </c>
      <c r="BV34" s="224">
        <v>0</v>
      </c>
      <c r="BW34" s="224">
        <v>0</v>
      </c>
      <c r="BX34" s="224">
        <v>0</v>
      </c>
      <c r="BY34" s="224">
        <v>0</v>
      </c>
      <c r="BZ34" s="224">
        <v>0</v>
      </c>
      <c r="CA34" s="224">
        <v>0</v>
      </c>
      <c r="CB34" s="224">
        <v>0</v>
      </c>
      <c r="CC34" s="224">
        <v>0</v>
      </c>
      <c r="CD34" s="224">
        <v>0</v>
      </c>
      <c r="CE34" s="224">
        <v>0</v>
      </c>
      <c r="CF34" s="224">
        <v>0</v>
      </c>
      <c r="CG34" s="224">
        <v>0</v>
      </c>
      <c r="CH34" s="224">
        <v>0</v>
      </c>
      <c r="CI34" s="224">
        <v>0</v>
      </c>
      <c r="CJ34" s="224">
        <v>0</v>
      </c>
      <c r="CK34" s="224">
        <v>0</v>
      </c>
      <c r="CL34" s="224">
        <v>0</v>
      </c>
      <c r="CM34" s="224">
        <v>0</v>
      </c>
      <c r="CN34" s="224">
        <v>0</v>
      </c>
      <c r="CO34" s="224">
        <v>0</v>
      </c>
      <c r="CP34" s="224">
        <v>0</v>
      </c>
      <c r="CQ34" s="224">
        <v>0</v>
      </c>
      <c r="CR34" s="224">
        <v>0</v>
      </c>
      <c r="CS34" s="224">
        <v>0</v>
      </c>
      <c r="CT34" s="224">
        <v>0</v>
      </c>
      <c r="CU34" s="224">
        <v>0</v>
      </c>
      <c r="CV34" s="224">
        <v>0</v>
      </c>
      <c r="CW34" s="224">
        <v>0</v>
      </c>
      <c r="CX34" s="224">
        <v>0</v>
      </c>
      <c r="CY34" s="224">
        <v>0</v>
      </c>
      <c r="CZ34" s="224">
        <v>0</v>
      </c>
      <c r="DA34" s="224">
        <v>0</v>
      </c>
      <c r="DB34" s="224">
        <v>0</v>
      </c>
      <c r="DC34" s="224">
        <v>0</v>
      </c>
      <c r="DD34" s="224">
        <v>0</v>
      </c>
      <c r="DE34" s="224">
        <v>0</v>
      </c>
      <c r="DF34" s="224">
        <v>0</v>
      </c>
      <c r="DG34" s="224">
        <v>0</v>
      </c>
      <c r="DH34" s="224">
        <v>0</v>
      </c>
      <c r="DI34" s="224">
        <v>0</v>
      </c>
      <c r="DJ34" s="224">
        <v>0</v>
      </c>
      <c r="DK34" s="224">
        <v>0</v>
      </c>
      <c r="DL34" s="224">
        <v>0</v>
      </c>
      <c r="DM34" s="224">
        <v>0</v>
      </c>
      <c r="DN34" s="224">
        <v>0</v>
      </c>
      <c r="DO34" s="224">
        <v>0</v>
      </c>
      <c r="DP34" s="224">
        <v>0</v>
      </c>
      <c r="DQ34" s="224">
        <v>0</v>
      </c>
      <c r="DR34" s="224">
        <v>0</v>
      </c>
      <c r="DS34" s="224">
        <v>0</v>
      </c>
      <c r="DT34" s="224">
        <v>0</v>
      </c>
      <c r="DU34" s="224">
        <v>0</v>
      </c>
      <c r="DV34" s="224">
        <v>0</v>
      </c>
      <c r="DW34" s="224">
        <v>0</v>
      </c>
      <c r="DX34" s="224">
        <v>0</v>
      </c>
      <c r="DY34" s="224">
        <v>0</v>
      </c>
      <c r="DZ34" s="224">
        <v>0</v>
      </c>
      <c r="EA34" s="224">
        <v>0</v>
      </c>
      <c r="EB34" s="224">
        <v>0</v>
      </c>
      <c r="EC34" s="224">
        <v>0</v>
      </c>
      <c r="ED34" s="224">
        <v>0</v>
      </c>
      <c r="EE34" s="224">
        <v>0</v>
      </c>
      <c r="EF34" s="224">
        <v>0</v>
      </c>
      <c r="EG34" s="224">
        <v>0</v>
      </c>
      <c r="EH34" s="224">
        <v>0</v>
      </c>
      <c r="EI34" s="224">
        <v>0</v>
      </c>
      <c r="EJ34" s="224">
        <v>0</v>
      </c>
      <c r="EK34" s="224">
        <v>0</v>
      </c>
      <c r="EL34" s="224">
        <v>0</v>
      </c>
      <c r="EM34" s="224">
        <v>0</v>
      </c>
      <c r="EN34" s="224">
        <v>0</v>
      </c>
      <c r="EO34" s="224">
        <v>0</v>
      </c>
      <c r="EP34" s="224">
        <v>0</v>
      </c>
      <c r="EQ34" s="224">
        <v>0</v>
      </c>
      <c r="ER34" s="224">
        <v>0</v>
      </c>
      <c r="ES34" s="224">
        <v>0</v>
      </c>
      <c r="ET34" s="224">
        <v>0</v>
      </c>
      <c r="EU34" s="224">
        <v>0</v>
      </c>
      <c r="EV34" s="224">
        <v>0</v>
      </c>
      <c r="EW34" s="224">
        <v>0</v>
      </c>
      <c r="EX34" s="224">
        <v>0</v>
      </c>
      <c r="EY34" s="224">
        <v>0</v>
      </c>
      <c r="EZ34" s="224">
        <v>0</v>
      </c>
      <c r="FA34" s="224">
        <v>0</v>
      </c>
      <c r="FB34" s="224">
        <v>0</v>
      </c>
      <c r="FC34" s="224">
        <v>0</v>
      </c>
      <c r="FD34" s="224">
        <v>0</v>
      </c>
      <c r="FE34" s="224">
        <v>0</v>
      </c>
      <c r="FF34" s="224">
        <v>0</v>
      </c>
      <c r="FG34" s="224">
        <v>0</v>
      </c>
    </row>
    <row r="35" spans="2:163" x14ac:dyDescent="0.25">
      <c r="B35" s="223" t="s">
        <v>400</v>
      </c>
      <c r="C35" s="223" t="s">
        <v>421</v>
      </c>
      <c r="D35" s="223" t="s">
        <v>422</v>
      </c>
      <c r="E35" s="223">
        <v>0</v>
      </c>
      <c r="F35" s="223" t="s">
        <v>435</v>
      </c>
      <c r="G35" s="223" t="s">
        <v>440</v>
      </c>
      <c r="H35" s="224">
        <v>0</v>
      </c>
      <c r="I35" s="224">
        <v>0</v>
      </c>
      <c r="J35" s="224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4">
        <v>0</v>
      </c>
      <c r="X35" s="224">
        <v>0</v>
      </c>
      <c r="Y35" s="224">
        <v>0</v>
      </c>
      <c r="Z35" s="224">
        <v>0</v>
      </c>
      <c r="AA35" s="224">
        <v>0</v>
      </c>
      <c r="AB35" s="224">
        <v>0</v>
      </c>
      <c r="AC35" s="224">
        <v>0</v>
      </c>
      <c r="AD35" s="224">
        <v>0</v>
      </c>
      <c r="AE35" s="224">
        <v>0</v>
      </c>
      <c r="AF35" s="224">
        <v>0</v>
      </c>
      <c r="AG35" s="224">
        <v>0</v>
      </c>
      <c r="AH35" s="224">
        <v>0</v>
      </c>
      <c r="AI35" s="224">
        <v>0</v>
      </c>
      <c r="AJ35" s="224">
        <v>0</v>
      </c>
      <c r="AK35" s="224">
        <v>0</v>
      </c>
      <c r="AL35" s="224">
        <v>0</v>
      </c>
      <c r="AM35" s="224">
        <v>0</v>
      </c>
      <c r="AN35" s="224">
        <v>0</v>
      </c>
      <c r="AO35" s="224">
        <v>0</v>
      </c>
      <c r="AP35" s="224">
        <v>0</v>
      </c>
      <c r="AQ35" s="224">
        <v>0</v>
      </c>
      <c r="AR35" s="224">
        <v>0</v>
      </c>
      <c r="AS35" s="224">
        <v>0</v>
      </c>
      <c r="AT35" s="224">
        <v>0</v>
      </c>
      <c r="AU35" s="224">
        <v>0</v>
      </c>
      <c r="AV35" s="224">
        <v>0</v>
      </c>
      <c r="AW35" s="224">
        <v>0</v>
      </c>
      <c r="AX35" s="224">
        <v>0</v>
      </c>
      <c r="AY35" s="224">
        <v>0</v>
      </c>
      <c r="AZ35" s="224">
        <v>0</v>
      </c>
      <c r="BA35" s="224">
        <v>0</v>
      </c>
      <c r="BB35" s="224">
        <v>0</v>
      </c>
      <c r="BC35" s="224">
        <v>0</v>
      </c>
      <c r="BD35" s="224">
        <v>0</v>
      </c>
      <c r="BE35" s="224">
        <v>0</v>
      </c>
      <c r="BF35" s="224">
        <v>0</v>
      </c>
      <c r="BG35" s="224">
        <v>0</v>
      </c>
      <c r="BH35" s="224">
        <v>0</v>
      </c>
      <c r="BI35" s="224">
        <v>0</v>
      </c>
      <c r="BJ35" s="224">
        <v>0</v>
      </c>
      <c r="BK35" s="224">
        <v>0</v>
      </c>
      <c r="BL35" s="224">
        <v>0</v>
      </c>
      <c r="BM35" s="224">
        <v>0</v>
      </c>
      <c r="BN35" s="224">
        <v>0</v>
      </c>
      <c r="BO35" s="224">
        <v>0</v>
      </c>
      <c r="BP35" s="224">
        <v>0</v>
      </c>
      <c r="BQ35" s="224">
        <v>0</v>
      </c>
      <c r="BR35" s="224">
        <v>0</v>
      </c>
      <c r="BS35" s="224">
        <v>0</v>
      </c>
      <c r="BT35" s="224">
        <v>0</v>
      </c>
      <c r="BU35" s="224">
        <v>0</v>
      </c>
      <c r="BV35" s="224">
        <v>0</v>
      </c>
      <c r="BW35" s="224">
        <v>0</v>
      </c>
      <c r="BX35" s="224">
        <v>0</v>
      </c>
      <c r="BY35" s="224">
        <v>0</v>
      </c>
      <c r="BZ35" s="224">
        <v>0</v>
      </c>
      <c r="CA35" s="224">
        <v>0</v>
      </c>
      <c r="CB35" s="224">
        <v>0</v>
      </c>
      <c r="CC35" s="224">
        <v>0</v>
      </c>
      <c r="CD35" s="224">
        <v>0</v>
      </c>
      <c r="CE35" s="224">
        <v>0</v>
      </c>
      <c r="CF35" s="224">
        <v>0</v>
      </c>
      <c r="CG35" s="224">
        <v>0</v>
      </c>
      <c r="CH35" s="224">
        <v>0</v>
      </c>
      <c r="CI35" s="224">
        <v>0</v>
      </c>
      <c r="CJ35" s="224">
        <v>0</v>
      </c>
      <c r="CK35" s="224">
        <v>0</v>
      </c>
      <c r="CL35" s="224">
        <v>0</v>
      </c>
      <c r="CM35" s="224">
        <v>0</v>
      </c>
      <c r="CN35" s="224">
        <v>0</v>
      </c>
      <c r="CO35" s="224">
        <v>0</v>
      </c>
      <c r="CP35" s="224">
        <v>0</v>
      </c>
      <c r="CQ35" s="224">
        <v>0</v>
      </c>
      <c r="CR35" s="224">
        <v>0</v>
      </c>
      <c r="CS35" s="224">
        <v>0</v>
      </c>
      <c r="CT35" s="224">
        <v>0</v>
      </c>
      <c r="CU35" s="224">
        <v>0</v>
      </c>
      <c r="CV35" s="224">
        <v>0</v>
      </c>
      <c r="CW35" s="224">
        <v>0</v>
      </c>
      <c r="CX35" s="224">
        <v>0</v>
      </c>
      <c r="CY35" s="224">
        <v>0</v>
      </c>
      <c r="CZ35" s="224">
        <v>0</v>
      </c>
      <c r="DA35" s="224">
        <v>0</v>
      </c>
      <c r="DB35" s="224">
        <v>0</v>
      </c>
      <c r="DC35" s="224">
        <v>0</v>
      </c>
      <c r="DD35" s="224">
        <v>0</v>
      </c>
      <c r="DE35" s="224">
        <v>0</v>
      </c>
      <c r="DF35" s="224">
        <v>0</v>
      </c>
      <c r="DG35" s="224">
        <v>0</v>
      </c>
      <c r="DH35" s="224">
        <v>0</v>
      </c>
      <c r="DI35" s="224">
        <v>0</v>
      </c>
      <c r="DJ35" s="224">
        <v>0</v>
      </c>
      <c r="DK35" s="224">
        <v>0</v>
      </c>
      <c r="DL35" s="224">
        <v>0</v>
      </c>
      <c r="DM35" s="224">
        <v>0</v>
      </c>
      <c r="DN35" s="224">
        <v>0</v>
      </c>
      <c r="DO35" s="224">
        <v>0</v>
      </c>
      <c r="DP35" s="224">
        <v>0</v>
      </c>
      <c r="DQ35" s="224">
        <v>0</v>
      </c>
      <c r="DR35" s="224">
        <v>0</v>
      </c>
      <c r="DS35" s="224">
        <v>0</v>
      </c>
      <c r="DT35" s="224">
        <v>0</v>
      </c>
      <c r="DU35" s="224">
        <v>0</v>
      </c>
      <c r="DV35" s="224">
        <v>0</v>
      </c>
      <c r="DW35" s="224">
        <v>0</v>
      </c>
      <c r="DX35" s="224">
        <v>0</v>
      </c>
      <c r="DY35" s="224">
        <v>0</v>
      </c>
      <c r="DZ35" s="224">
        <v>0</v>
      </c>
      <c r="EA35" s="224">
        <v>0</v>
      </c>
      <c r="EB35" s="224">
        <v>0</v>
      </c>
      <c r="EC35" s="224">
        <v>0</v>
      </c>
      <c r="ED35" s="224">
        <v>0</v>
      </c>
      <c r="EE35" s="224">
        <v>0</v>
      </c>
      <c r="EF35" s="224">
        <v>0</v>
      </c>
      <c r="EG35" s="224">
        <v>0</v>
      </c>
      <c r="EH35" s="224">
        <v>0</v>
      </c>
      <c r="EI35" s="224">
        <v>0</v>
      </c>
      <c r="EJ35" s="224">
        <v>0</v>
      </c>
      <c r="EK35" s="224">
        <v>0</v>
      </c>
      <c r="EL35" s="224">
        <v>0</v>
      </c>
      <c r="EM35" s="224">
        <v>0</v>
      </c>
      <c r="EN35" s="224">
        <v>0</v>
      </c>
      <c r="EO35" s="224">
        <v>0</v>
      </c>
      <c r="EP35" s="224">
        <v>0</v>
      </c>
      <c r="EQ35" s="224">
        <v>0</v>
      </c>
      <c r="ER35" s="224">
        <v>0</v>
      </c>
      <c r="ES35" s="224">
        <v>0</v>
      </c>
      <c r="ET35" s="224">
        <v>0</v>
      </c>
      <c r="EU35" s="224">
        <v>0</v>
      </c>
      <c r="EV35" s="224">
        <v>0</v>
      </c>
      <c r="EW35" s="224">
        <v>0</v>
      </c>
      <c r="EX35" s="224">
        <v>0</v>
      </c>
      <c r="EY35" s="224">
        <v>0</v>
      </c>
      <c r="EZ35" s="224">
        <v>0</v>
      </c>
      <c r="FA35" s="224">
        <v>0</v>
      </c>
      <c r="FB35" s="224">
        <v>0</v>
      </c>
      <c r="FC35" s="224">
        <v>0</v>
      </c>
      <c r="FD35" s="224">
        <v>0</v>
      </c>
      <c r="FE35" s="224">
        <v>0</v>
      </c>
      <c r="FF35" s="224">
        <v>0</v>
      </c>
      <c r="FG35" s="224">
        <v>0</v>
      </c>
    </row>
    <row r="36" spans="2:163" x14ac:dyDescent="0.25">
      <c r="B36" s="223" t="s">
        <v>400</v>
      </c>
      <c r="C36" s="223" t="s">
        <v>421</v>
      </c>
      <c r="D36" s="223" t="s">
        <v>422</v>
      </c>
      <c r="E36" s="223">
        <v>0</v>
      </c>
      <c r="F36" s="223" t="s">
        <v>435</v>
      </c>
      <c r="G36" s="223" t="s">
        <v>441</v>
      </c>
      <c r="H36" s="224">
        <v>0</v>
      </c>
      <c r="I36" s="224">
        <v>0</v>
      </c>
      <c r="J36" s="224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4">
        <v>0</v>
      </c>
      <c r="X36" s="224">
        <v>0</v>
      </c>
      <c r="Y36" s="224">
        <v>0</v>
      </c>
      <c r="Z36" s="224">
        <v>0</v>
      </c>
      <c r="AA36" s="224">
        <v>0</v>
      </c>
      <c r="AB36" s="224">
        <v>0</v>
      </c>
      <c r="AC36" s="224">
        <v>0</v>
      </c>
      <c r="AD36" s="224">
        <v>0</v>
      </c>
      <c r="AE36" s="224">
        <v>0</v>
      </c>
      <c r="AF36" s="224">
        <v>0</v>
      </c>
      <c r="AG36" s="224">
        <v>0</v>
      </c>
      <c r="AH36" s="224">
        <v>0</v>
      </c>
      <c r="AI36" s="224">
        <v>0</v>
      </c>
      <c r="AJ36" s="224">
        <v>0</v>
      </c>
      <c r="AK36" s="224">
        <v>0</v>
      </c>
      <c r="AL36" s="224">
        <v>0</v>
      </c>
      <c r="AM36" s="224">
        <v>0</v>
      </c>
      <c r="AN36" s="224">
        <v>0</v>
      </c>
      <c r="AO36" s="224">
        <v>0</v>
      </c>
      <c r="AP36" s="224">
        <v>0</v>
      </c>
      <c r="AQ36" s="224">
        <v>0</v>
      </c>
      <c r="AR36" s="224">
        <v>0</v>
      </c>
      <c r="AS36" s="224">
        <v>0</v>
      </c>
      <c r="AT36" s="224">
        <v>0</v>
      </c>
      <c r="AU36" s="224">
        <v>0</v>
      </c>
      <c r="AV36" s="224">
        <v>0</v>
      </c>
      <c r="AW36" s="224">
        <v>0</v>
      </c>
      <c r="AX36" s="224">
        <v>0</v>
      </c>
      <c r="AY36" s="224">
        <v>0</v>
      </c>
      <c r="AZ36" s="224">
        <v>0</v>
      </c>
      <c r="BA36" s="224">
        <v>0</v>
      </c>
      <c r="BB36" s="224">
        <v>0</v>
      </c>
      <c r="BC36" s="224">
        <v>0</v>
      </c>
      <c r="BD36" s="224">
        <v>0</v>
      </c>
      <c r="BE36" s="224">
        <v>0</v>
      </c>
      <c r="BF36" s="224">
        <v>0</v>
      </c>
      <c r="BG36" s="224">
        <v>0</v>
      </c>
      <c r="BH36" s="224">
        <v>0</v>
      </c>
      <c r="BI36" s="224">
        <v>0</v>
      </c>
      <c r="BJ36" s="224">
        <v>0</v>
      </c>
      <c r="BK36" s="224">
        <v>0</v>
      </c>
      <c r="BL36" s="224">
        <v>0</v>
      </c>
      <c r="BM36" s="224">
        <v>0</v>
      </c>
      <c r="BN36" s="224">
        <v>0</v>
      </c>
      <c r="BO36" s="224">
        <v>0</v>
      </c>
      <c r="BP36" s="224">
        <v>0</v>
      </c>
      <c r="BQ36" s="224">
        <v>0</v>
      </c>
      <c r="BR36" s="224">
        <v>0</v>
      </c>
      <c r="BS36" s="224">
        <v>0</v>
      </c>
      <c r="BT36" s="224">
        <v>0</v>
      </c>
      <c r="BU36" s="224">
        <v>0</v>
      </c>
      <c r="BV36" s="224">
        <v>0</v>
      </c>
      <c r="BW36" s="224">
        <v>0</v>
      </c>
      <c r="BX36" s="224">
        <v>0</v>
      </c>
      <c r="BY36" s="224">
        <v>0</v>
      </c>
      <c r="BZ36" s="224">
        <v>0</v>
      </c>
      <c r="CA36" s="224">
        <v>0</v>
      </c>
      <c r="CB36" s="224">
        <v>0</v>
      </c>
      <c r="CC36" s="224">
        <v>0</v>
      </c>
      <c r="CD36" s="224">
        <v>0</v>
      </c>
      <c r="CE36" s="224">
        <v>0</v>
      </c>
      <c r="CF36" s="224">
        <v>0</v>
      </c>
      <c r="CG36" s="224">
        <v>0</v>
      </c>
      <c r="CH36" s="224">
        <v>0</v>
      </c>
      <c r="CI36" s="224">
        <v>0</v>
      </c>
      <c r="CJ36" s="224">
        <v>0</v>
      </c>
      <c r="CK36" s="224">
        <v>0</v>
      </c>
      <c r="CL36" s="224">
        <v>0</v>
      </c>
      <c r="CM36" s="224">
        <v>0</v>
      </c>
      <c r="CN36" s="224">
        <v>0</v>
      </c>
      <c r="CO36" s="224">
        <v>0</v>
      </c>
      <c r="CP36" s="224">
        <v>0</v>
      </c>
      <c r="CQ36" s="224">
        <v>0</v>
      </c>
      <c r="CR36" s="224">
        <v>0</v>
      </c>
      <c r="CS36" s="224">
        <v>0</v>
      </c>
      <c r="CT36" s="224">
        <v>0</v>
      </c>
      <c r="CU36" s="224">
        <v>0</v>
      </c>
      <c r="CV36" s="224">
        <v>0</v>
      </c>
      <c r="CW36" s="224">
        <v>0</v>
      </c>
      <c r="CX36" s="224">
        <v>0</v>
      </c>
      <c r="CY36" s="224">
        <v>0</v>
      </c>
      <c r="CZ36" s="224">
        <v>0</v>
      </c>
      <c r="DA36" s="224">
        <v>0</v>
      </c>
      <c r="DB36" s="224">
        <v>0</v>
      </c>
      <c r="DC36" s="224">
        <v>0</v>
      </c>
      <c r="DD36" s="224">
        <v>0</v>
      </c>
      <c r="DE36" s="224">
        <v>0</v>
      </c>
      <c r="DF36" s="224">
        <v>0</v>
      </c>
      <c r="DG36" s="224">
        <v>0</v>
      </c>
      <c r="DH36" s="224">
        <v>0</v>
      </c>
      <c r="DI36" s="224">
        <v>0</v>
      </c>
      <c r="DJ36" s="224">
        <v>0</v>
      </c>
      <c r="DK36" s="224">
        <v>0</v>
      </c>
      <c r="DL36" s="224">
        <v>0</v>
      </c>
      <c r="DM36" s="224">
        <v>0</v>
      </c>
      <c r="DN36" s="224">
        <v>0</v>
      </c>
      <c r="DO36" s="224">
        <v>0</v>
      </c>
      <c r="DP36" s="224">
        <v>0</v>
      </c>
      <c r="DQ36" s="224">
        <v>0</v>
      </c>
      <c r="DR36" s="224">
        <v>0</v>
      </c>
      <c r="DS36" s="224">
        <v>0</v>
      </c>
      <c r="DT36" s="224">
        <v>0</v>
      </c>
      <c r="DU36" s="224">
        <v>0</v>
      </c>
      <c r="DV36" s="224">
        <v>0</v>
      </c>
      <c r="DW36" s="224">
        <v>0</v>
      </c>
      <c r="DX36" s="224">
        <v>0</v>
      </c>
      <c r="DY36" s="224">
        <v>0</v>
      </c>
      <c r="DZ36" s="224">
        <v>0</v>
      </c>
      <c r="EA36" s="224">
        <v>0</v>
      </c>
      <c r="EB36" s="224">
        <v>0</v>
      </c>
      <c r="EC36" s="224">
        <v>0</v>
      </c>
      <c r="ED36" s="224">
        <v>0</v>
      </c>
      <c r="EE36" s="224">
        <v>0</v>
      </c>
      <c r="EF36" s="224">
        <v>0</v>
      </c>
      <c r="EG36" s="224">
        <v>0</v>
      </c>
      <c r="EH36" s="224">
        <v>0</v>
      </c>
      <c r="EI36" s="224">
        <v>0</v>
      </c>
      <c r="EJ36" s="224">
        <v>0</v>
      </c>
      <c r="EK36" s="224">
        <v>0</v>
      </c>
      <c r="EL36" s="224">
        <v>0</v>
      </c>
      <c r="EM36" s="224">
        <v>0</v>
      </c>
      <c r="EN36" s="224">
        <v>0</v>
      </c>
      <c r="EO36" s="224">
        <v>0</v>
      </c>
      <c r="EP36" s="224">
        <v>0</v>
      </c>
      <c r="EQ36" s="224">
        <v>0</v>
      </c>
      <c r="ER36" s="224">
        <v>0</v>
      </c>
      <c r="ES36" s="224">
        <v>0</v>
      </c>
      <c r="ET36" s="224">
        <v>0</v>
      </c>
      <c r="EU36" s="224">
        <v>0</v>
      </c>
      <c r="EV36" s="224">
        <v>0</v>
      </c>
      <c r="EW36" s="224">
        <v>0</v>
      </c>
      <c r="EX36" s="224">
        <v>0</v>
      </c>
      <c r="EY36" s="224">
        <v>0</v>
      </c>
      <c r="EZ36" s="224">
        <v>0</v>
      </c>
      <c r="FA36" s="224">
        <v>0</v>
      </c>
      <c r="FB36" s="224">
        <v>0</v>
      </c>
      <c r="FC36" s="224">
        <v>0</v>
      </c>
      <c r="FD36" s="224">
        <v>0</v>
      </c>
      <c r="FE36" s="224">
        <v>0</v>
      </c>
      <c r="FF36" s="224">
        <v>0</v>
      </c>
      <c r="FG36" s="224">
        <v>0</v>
      </c>
    </row>
    <row r="37" spans="2:163" x14ac:dyDescent="0.25">
      <c r="B37" s="223" t="s">
        <v>400</v>
      </c>
      <c r="C37" s="223" t="s">
        <v>421</v>
      </c>
      <c r="D37" s="223" t="s">
        <v>422</v>
      </c>
      <c r="E37" s="223">
        <v>0</v>
      </c>
      <c r="F37" s="223" t="s">
        <v>435</v>
      </c>
      <c r="G37" s="223" t="s">
        <v>442</v>
      </c>
      <c r="H37" s="224">
        <v>419242.7683906756</v>
      </c>
      <c r="I37" s="224">
        <v>831498.15730817325</v>
      </c>
      <c r="J37" s="224">
        <v>1236766.166752493</v>
      </c>
      <c r="K37" s="224">
        <v>1635046.7967236347</v>
      </c>
      <c r="L37" s="224">
        <v>2026340.0472215984</v>
      </c>
      <c r="M37" s="224">
        <v>2410645.9182463847</v>
      </c>
      <c r="N37" s="224">
        <v>2787964.4097979926</v>
      </c>
      <c r="O37" s="224">
        <v>3158295.5218764227</v>
      </c>
      <c r="P37" s="224">
        <v>3521639.2544816746</v>
      </c>
      <c r="Q37" s="224">
        <v>3877995.6076137489</v>
      </c>
      <c r="R37" s="224">
        <v>4227364.5812726459</v>
      </c>
      <c r="S37" s="224">
        <v>4569746.1754583651</v>
      </c>
      <c r="T37" s="224">
        <v>5590079.0227250699</v>
      </c>
      <c r="U37" s="224">
        <v>6592008.8466426944</v>
      </c>
      <c r="V37" s="224">
        <v>7575535.6472112378</v>
      </c>
      <c r="W37" s="224">
        <v>8540659.4244307</v>
      </c>
      <c r="X37" s="224">
        <v>9487380.1783010829</v>
      </c>
      <c r="Y37" s="224">
        <v>10415697.908822384</v>
      </c>
      <c r="Z37" s="224">
        <v>11325612.615994604</v>
      </c>
      <c r="AA37" s="224">
        <v>12217124.299817745</v>
      </c>
      <c r="AB37" s="224">
        <v>13090232.960291805</v>
      </c>
      <c r="AC37" s="224">
        <v>13944938.597416785</v>
      </c>
      <c r="AD37" s="224">
        <v>14781241.211192682</v>
      </c>
      <c r="AE37" s="224">
        <v>15599140.8016195</v>
      </c>
      <c r="AF37" s="224">
        <v>16425141.271510761</v>
      </c>
      <c r="AG37" s="224">
        <v>17232296.986339383</v>
      </c>
      <c r="AH37" s="224">
        <v>18020607.946105365</v>
      </c>
      <c r="AI37" s="224">
        <v>18790074.150808707</v>
      </c>
      <c r="AJ37" s="224">
        <v>19540695.600449409</v>
      </c>
      <c r="AK37" s="224">
        <v>20272472.295027472</v>
      </c>
      <c r="AL37" s="224">
        <v>20985404.234542895</v>
      </c>
      <c r="AM37" s="224">
        <v>21679491.418995682</v>
      </c>
      <c r="AN37" s="224">
        <v>22354733.848385829</v>
      </c>
      <c r="AO37" s="224">
        <v>23011131.522713337</v>
      </c>
      <c r="AP37" s="224">
        <v>23648684.441978205</v>
      </c>
      <c r="AQ37" s="224">
        <v>24267392.606180433</v>
      </c>
      <c r="AR37" s="224">
        <v>23736570.711561657</v>
      </c>
      <c r="AS37" s="224">
        <v>23205748.816942882</v>
      </c>
      <c r="AT37" s="224">
        <v>22674926.922324106</v>
      </c>
      <c r="AU37" s="224">
        <v>22144105.02770533</v>
      </c>
      <c r="AV37" s="224">
        <v>21613283.133086555</v>
      </c>
      <c r="AW37" s="224">
        <v>21082461.238467779</v>
      </c>
      <c r="AX37" s="224">
        <v>20551639.343849003</v>
      </c>
      <c r="AY37" s="224">
        <v>20020817.449230228</v>
      </c>
      <c r="AZ37" s="224">
        <v>19489995.554611452</v>
      </c>
      <c r="BA37" s="224">
        <v>18959173.659992676</v>
      </c>
      <c r="BB37" s="224">
        <v>18428351.765373901</v>
      </c>
      <c r="BC37" s="224">
        <v>17897529.870755125</v>
      </c>
      <c r="BD37" s="224">
        <v>17366707.976136349</v>
      </c>
      <c r="BE37" s="224">
        <v>16835886.081517573</v>
      </c>
      <c r="BF37" s="224">
        <v>16305064.186898798</v>
      </c>
      <c r="BG37" s="224">
        <v>15774242.292280022</v>
      </c>
      <c r="BH37" s="224">
        <v>15243420.397661246</v>
      </c>
      <c r="BI37" s="224">
        <v>14712598.503042471</v>
      </c>
      <c r="BJ37" s="224">
        <v>14181776.608423695</v>
      </c>
      <c r="BK37" s="224">
        <v>13650954.713804919</v>
      </c>
      <c r="BL37" s="224">
        <v>13120132.819186144</v>
      </c>
      <c r="BM37" s="224">
        <v>12589310.924567368</v>
      </c>
      <c r="BN37" s="224">
        <v>12058489.029948592</v>
      </c>
      <c r="BO37" s="224">
        <v>11527667.135329816</v>
      </c>
      <c r="BP37" s="224">
        <v>10996845.240711041</v>
      </c>
      <c r="BQ37" s="224">
        <v>10473010.725565443</v>
      </c>
      <c r="BR37" s="224">
        <v>9956163.5898930226</v>
      </c>
      <c r="BS37" s="224">
        <v>9446303.83369378</v>
      </c>
      <c r="BT37" s="224">
        <v>8943431.4569677152</v>
      </c>
      <c r="BU37" s="224">
        <v>8447546.4597148281</v>
      </c>
      <c r="BV37" s="224">
        <v>7958648.8419351196</v>
      </c>
      <c r="BW37" s="224">
        <v>7476738.6036285888</v>
      </c>
      <c r="BX37" s="224">
        <v>7001815.7447952358</v>
      </c>
      <c r="BY37" s="224">
        <v>6533880.2654350614</v>
      </c>
      <c r="BZ37" s="224">
        <v>6072932.1655480647</v>
      </c>
      <c r="CA37" s="224">
        <v>5618971.4451342458</v>
      </c>
      <c r="CB37" s="224">
        <v>5171998.1041936046</v>
      </c>
      <c r="CC37" s="224">
        <v>4743427.7866020445</v>
      </c>
      <c r="CD37" s="224">
        <v>4333260.4923595646</v>
      </c>
      <c r="CE37" s="224">
        <v>3941496.221466166</v>
      </c>
      <c r="CF37" s="224">
        <v>3568134.9739218475</v>
      </c>
      <c r="CG37" s="224">
        <v>3213176.7497266103</v>
      </c>
      <c r="CH37" s="224">
        <v>2876621.5488804532</v>
      </c>
      <c r="CI37" s="224">
        <v>2558469.3713833769</v>
      </c>
      <c r="CJ37" s="224">
        <v>2258720.2172353812</v>
      </c>
      <c r="CK37" s="224">
        <v>1977374.0864364663</v>
      </c>
      <c r="CL37" s="224">
        <v>1714430.9789866321</v>
      </c>
      <c r="CM37" s="224">
        <v>1469890.8948858785</v>
      </c>
      <c r="CN37" s="224">
        <v>1243753.8341342057</v>
      </c>
      <c r="CO37" s="224">
        <v>1036461.5284451721</v>
      </c>
      <c r="CP37" s="224">
        <v>848013.97781877802</v>
      </c>
      <c r="CQ37" s="224">
        <v>678411.18225502328</v>
      </c>
      <c r="CR37" s="224">
        <v>527653.14175390801</v>
      </c>
      <c r="CS37" s="224">
        <v>395739.85631543212</v>
      </c>
      <c r="CT37" s="224">
        <v>282671.32593959564</v>
      </c>
      <c r="CU37" s="224">
        <v>188447.55062639856</v>
      </c>
      <c r="CV37" s="224">
        <v>113068.5303758409</v>
      </c>
      <c r="CW37" s="224">
        <v>56534.265187922661</v>
      </c>
      <c r="CX37" s="224">
        <v>18844.755062643831</v>
      </c>
      <c r="CY37" s="224">
        <v>4.4165062718093395E-9</v>
      </c>
      <c r="CZ37" s="224">
        <v>4.4165062718093395E-9</v>
      </c>
      <c r="DA37" s="224">
        <v>4.4165062718093395E-9</v>
      </c>
      <c r="DB37" s="224">
        <v>4.4165062718093395E-9</v>
      </c>
      <c r="DC37" s="224">
        <v>4.4165062718093395E-9</v>
      </c>
      <c r="DD37" s="224">
        <v>4.4165062718093395E-9</v>
      </c>
      <c r="DE37" s="224">
        <v>4.4165062718093395E-9</v>
      </c>
      <c r="DF37" s="224">
        <v>4.4165062718093395E-9</v>
      </c>
      <c r="DG37" s="224">
        <v>4.4165062718093395E-9</v>
      </c>
      <c r="DH37" s="224">
        <v>4.4165062718093395E-9</v>
      </c>
      <c r="DI37" s="224">
        <v>4.4165062718093395E-9</v>
      </c>
      <c r="DJ37" s="224">
        <v>4.4165062718093395E-9</v>
      </c>
      <c r="DK37" s="224">
        <v>4.4165062718093395E-9</v>
      </c>
      <c r="DL37" s="224">
        <v>4.4165062718093395E-9</v>
      </c>
      <c r="DM37" s="224">
        <v>4.4165062718093395E-9</v>
      </c>
      <c r="DN37" s="224">
        <v>4.4165062718093395E-9</v>
      </c>
      <c r="DO37" s="224">
        <v>4.4165062718093395E-9</v>
      </c>
      <c r="DP37" s="224">
        <v>4.4165062718093395E-9</v>
      </c>
      <c r="DQ37" s="224">
        <v>4.4165062718093395E-9</v>
      </c>
      <c r="DR37" s="224">
        <v>4.4165062718093395E-9</v>
      </c>
      <c r="DS37" s="224">
        <v>4.4165062718093395E-9</v>
      </c>
      <c r="DT37" s="224">
        <v>4.4165062718093395E-9</v>
      </c>
      <c r="DU37" s="224">
        <v>4.4165062718093395E-9</v>
      </c>
      <c r="DV37" s="224">
        <v>4.4165062718093395E-9</v>
      </c>
      <c r="DW37" s="224">
        <v>4.4165062718093395E-9</v>
      </c>
      <c r="DX37" s="224">
        <v>4.4165062718093395E-9</v>
      </c>
      <c r="DY37" s="224">
        <v>4.4165062718093395E-9</v>
      </c>
      <c r="DZ37" s="224">
        <v>4.4165062718093395E-9</v>
      </c>
      <c r="EA37" s="224">
        <v>4.4165062718093395E-9</v>
      </c>
      <c r="EB37" s="224">
        <v>4.4165062718093395E-9</v>
      </c>
      <c r="EC37" s="224">
        <v>4.4165062718093395E-9</v>
      </c>
      <c r="ED37" s="224">
        <v>4.4165062718093395E-9</v>
      </c>
      <c r="EE37" s="224">
        <v>4.4165062718093395E-9</v>
      </c>
      <c r="EF37" s="224">
        <v>4.4165062718093395E-9</v>
      </c>
      <c r="EG37" s="224">
        <v>4.4165062718093395E-9</v>
      </c>
      <c r="EH37" s="224">
        <v>4.4165062718093395E-9</v>
      </c>
      <c r="EI37" s="224">
        <v>4.4165062718093395E-9</v>
      </c>
      <c r="EJ37" s="224">
        <v>4.4165062718093395E-9</v>
      </c>
      <c r="EK37" s="224">
        <v>4.4165062718093395E-9</v>
      </c>
      <c r="EL37" s="224">
        <v>4.4165062718093395E-9</v>
      </c>
      <c r="EM37" s="224">
        <v>4.4165062718093395E-9</v>
      </c>
      <c r="EN37" s="224">
        <v>4.4165062718093395E-9</v>
      </c>
      <c r="EO37" s="224">
        <v>4.4165062718093395E-9</v>
      </c>
      <c r="EP37" s="224">
        <v>4.4165062718093395E-9</v>
      </c>
      <c r="EQ37" s="224">
        <v>4.4165062718093395E-9</v>
      </c>
      <c r="ER37" s="224">
        <v>4.4165062718093395E-9</v>
      </c>
      <c r="ES37" s="224">
        <v>4.4165062718093395E-9</v>
      </c>
      <c r="ET37" s="224">
        <v>4.4165062718093395E-9</v>
      </c>
      <c r="EU37" s="224">
        <v>4.4165062718093395E-9</v>
      </c>
      <c r="EV37" s="224">
        <v>4.4165062718093395E-9</v>
      </c>
      <c r="EW37" s="224">
        <v>4.4165062718093395E-9</v>
      </c>
      <c r="EX37" s="224">
        <v>4.4165062718093395E-9</v>
      </c>
      <c r="EY37" s="224">
        <v>4.4165062718093395E-9</v>
      </c>
      <c r="EZ37" s="224">
        <v>4.4165062718093395E-9</v>
      </c>
      <c r="FA37" s="224">
        <v>4.4165062718093395E-9</v>
      </c>
      <c r="FB37" s="224">
        <v>4.4165062718093395E-9</v>
      </c>
      <c r="FC37" s="224">
        <v>4.4165062718093395E-9</v>
      </c>
      <c r="FD37" s="224">
        <v>4.4165062718093395E-9</v>
      </c>
      <c r="FE37" s="224">
        <v>4.4165062718093395E-9</v>
      </c>
      <c r="FF37" s="224">
        <v>4.4165062718093395E-9</v>
      </c>
      <c r="FG37" s="224">
        <v>4.4165062718093395E-9</v>
      </c>
    </row>
    <row r="38" spans="2:163" x14ac:dyDescent="0.25">
      <c r="B38" s="223" t="s">
        <v>443</v>
      </c>
      <c r="C38" s="223" t="s">
        <v>444</v>
      </c>
      <c r="D38" s="223" t="s">
        <v>445</v>
      </c>
      <c r="E38" s="223">
        <v>0</v>
      </c>
      <c r="F38" s="223" t="s">
        <v>446</v>
      </c>
      <c r="G38" s="223" t="s">
        <v>447</v>
      </c>
      <c r="H38" s="224">
        <v>0</v>
      </c>
      <c r="I38" s="224">
        <v>0</v>
      </c>
      <c r="J38" s="224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24">
        <v>0</v>
      </c>
      <c r="AC38" s="224">
        <v>0</v>
      </c>
      <c r="AD38" s="224">
        <v>0</v>
      </c>
      <c r="AE38" s="224">
        <v>0</v>
      </c>
      <c r="AF38" s="224">
        <v>0</v>
      </c>
      <c r="AG38" s="224">
        <v>0</v>
      </c>
      <c r="AH38" s="224">
        <v>0</v>
      </c>
      <c r="AI38" s="224">
        <v>0</v>
      </c>
      <c r="AJ38" s="224">
        <v>0</v>
      </c>
      <c r="AK38" s="224">
        <v>0</v>
      </c>
      <c r="AL38" s="224">
        <v>0</v>
      </c>
      <c r="AM38" s="224">
        <v>0</v>
      </c>
      <c r="AN38" s="224">
        <v>0</v>
      </c>
      <c r="AO38" s="224">
        <v>0</v>
      </c>
      <c r="AP38" s="224">
        <v>0</v>
      </c>
      <c r="AQ38" s="224">
        <v>0</v>
      </c>
      <c r="AR38" s="224">
        <v>0</v>
      </c>
      <c r="AS38" s="224">
        <v>0</v>
      </c>
      <c r="AT38" s="224">
        <v>0</v>
      </c>
      <c r="AU38" s="224">
        <v>0</v>
      </c>
      <c r="AV38" s="224">
        <v>0</v>
      </c>
      <c r="AW38" s="224">
        <v>0</v>
      </c>
      <c r="AX38" s="224">
        <v>0</v>
      </c>
      <c r="AY38" s="224">
        <v>0</v>
      </c>
      <c r="AZ38" s="224">
        <v>0</v>
      </c>
      <c r="BA38" s="224">
        <v>0</v>
      </c>
      <c r="BB38" s="224">
        <v>0</v>
      </c>
      <c r="BC38" s="224">
        <v>0</v>
      </c>
      <c r="BD38" s="224">
        <v>0</v>
      </c>
      <c r="BE38" s="224">
        <v>0</v>
      </c>
      <c r="BF38" s="224">
        <v>0</v>
      </c>
      <c r="BG38" s="224">
        <v>0</v>
      </c>
      <c r="BH38" s="224">
        <v>0</v>
      </c>
      <c r="BI38" s="224">
        <v>0</v>
      </c>
      <c r="BJ38" s="224">
        <v>0</v>
      </c>
      <c r="BK38" s="224">
        <v>0</v>
      </c>
      <c r="BL38" s="224">
        <v>0</v>
      </c>
      <c r="BM38" s="224">
        <v>0</v>
      </c>
      <c r="BN38" s="224">
        <v>0</v>
      </c>
      <c r="BO38" s="224">
        <v>0</v>
      </c>
      <c r="BP38" s="224">
        <v>0</v>
      </c>
      <c r="BQ38" s="224">
        <v>0</v>
      </c>
      <c r="BR38" s="224">
        <v>0</v>
      </c>
      <c r="BS38" s="224">
        <v>0</v>
      </c>
      <c r="BT38" s="224">
        <v>0</v>
      </c>
      <c r="BU38" s="224">
        <v>0</v>
      </c>
      <c r="BV38" s="224">
        <v>0</v>
      </c>
      <c r="BW38" s="224">
        <v>0</v>
      </c>
      <c r="BX38" s="224">
        <v>0</v>
      </c>
      <c r="BY38" s="224">
        <v>0</v>
      </c>
      <c r="BZ38" s="224">
        <v>0</v>
      </c>
      <c r="CA38" s="224">
        <v>0</v>
      </c>
      <c r="CB38" s="224">
        <v>0</v>
      </c>
      <c r="CC38" s="224">
        <v>0</v>
      </c>
      <c r="CD38" s="224">
        <v>0</v>
      </c>
      <c r="CE38" s="224">
        <v>0</v>
      </c>
      <c r="CF38" s="224">
        <v>0</v>
      </c>
      <c r="CG38" s="224">
        <v>0</v>
      </c>
      <c r="CH38" s="224">
        <v>0</v>
      </c>
      <c r="CI38" s="224">
        <v>0</v>
      </c>
      <c r="CJ38" s="224">
        <v>0</v>
      </c>
      <c r="CK38" s="224">
        <v>0</v>
      </c>
      <c r="CL38" s="224">
        <v>0</v>
      </c>
      <c r="CM38" s="224">
        <v>0</v>
      </c>
      <c r="CN38" s="224">
        <v>0</v>
      </c>
      <c r="CO38" s="224">
        <v>0</v>
      </c>
      <c r="CP38" s="224">
        <v>0</v>
      </c>
      <c r="CQ38" s="224">
        <v>0</v>
      </c>
      <c r="CR38" s="224">
        <v>0</v>
      </c>
      <c r="CS38" s="224">
        <v>0</v>
      </c>
      <c r="CT38" s="224">
        <v>0</v>
      </c>
      <c r="CU38" s="224">
        <v>0</v>
      </c>
      <c r="CV38" s="224">
        <v>0</v>
      </c>
      <c r="CW38" s="224">
        <v>0</v>
      </c>
      <c r="CX38" s="224">
        <v>0</v>
      </c>
      <c r="CY38" s="224">
        <v>0</v>
      </c>
      <c r="CZ38" s="224">
        <v>0</v>
      </c>
      <c r="DA38" s="224">
        <v>0</v>
      </c>
      <c r="DB38" s="224">
        <v>0</v>
      </c>
      <c r="DC38" s="224">
        <v>0</v>
      </c>
      <c r="DD38" s="224">
        <v>0</v>
      </c>
      <c r="DE38" s="224">
        <v>0</v>
      </c>
      <c r="DF38" s="224">
        <v>0</v>
      </c>
      <c r="DG38" s="224">
        <v>0</v>
      </c>
      <c r="DH38" s="224">
        <v>0</v>
      </c>
      <c r="DI38" s="224">
        <v>0</v>
      </c>
      <c r="DJ38" s="224">
        <v>0</v>
      </c>
      <c r="DK38" s="224">
        <v>0</v>
      </c>
      <c r="DL38" s="224">
        <v>0</v>
      </c>
      <c r="DM38" s="224">
        <v>0</v>
      </c>
      <c r="DN38" s="224">
        <v>0</v>
      </c>
      <c r="DO38" s="224">
        <v>0</v>
      </c>
      <c r="DP38" s="224">
        <v>0</v>
      </c>
      <c r="DQ38" s="224">
        <v>0</v>
      </c>
      <c r="DR38" s="224">
        <v>0</v>
      </c>
      <c r="DS38" s="224">
        <v>0</v>
      </c>
      <c r="DT38" s="224">
        <v>0</v>
      </c>
      <c r="DU38" s="224">
        <v>0</v>
      </c>
      <c r="DV38" s="224">
        <v>0</v>
      </c>
      <c r="DW38" s="224">
        <v>0</v>
      </c>
      <c r="DX38" s="224">
        <v>0</v>
      </c>
      <c r="DY38" s="224">
        <v>0</v>
      </c>
      <c r="DZ38" s="224">
        <v>0</v>
      </c>
      <c r="EA38" s="224">
        <v>0</v>
      </c>
      <c r="EB38" s="224">
        <v>0</v>
      </c>
      <c r="EC38" s="224">
        <v>0</v>
      </c>
      <c r="ED38" s="224">
        <v>0</v>
      </c>
      <c r="EE38" s="224">
        <v>0</v>
      </c>
      <c r="EF38" s="224">
        <v>0</v>
      </c>
      <c r="EG38" s="224">
        <v>0</v>
      </c>
      <c r="EH38" s="224">
        <v>0</v>
      </c>
      <c r="EI38" s="224">
        <v>0</v>
      </c>
      <c r="EJ38" s="224">
        <v>0</v>
      </c>
      <c r="EK38" s="224">
        <v>0</v>
      </c>
      <c r="EL38" s="224">
        <v>0</v>
      </c>
      <c r="EM38" s="224">
        <v>0</v>
      </c>
      <c r="EN38" s="224">
        <v>0</v>
      </c>
      <c r="EO38" s="224">
        <v>0</v>
      </c>
      <c r="EP38" s="224">
        <v>0</v>
      </c>
      <c r="EQ38" s="224">
        <v>0</v>
      </c>
      <c r="ER38" s="224">
        <v>0</v>
      </c>
      <c r="ES38" s="224">
        <v>0</v>
      </c>
      <c r="ET38" s="224">
        <v>0</v>
      </c>
      <c r="EU38" s="224">
        <v>0</v>
      </c>
      <c r="EV38" s="224">
        <v>0</v>
      </c>
      <c r="EW38" s="224">
        <v>0</v>
      </c>
      <c r="EX38" s="224">
        <v>0</v>
      </c>
      <c r="EY38" s="224">
        <v>0</v>
      </c>
      <c r="EZ38" s="224">
        <v>0</v>
      </c>
      <c r="FA38" s="224">
        <v>0</v>
      </c>
      <c r="FB38" s="224">
        <v>0</v>
      </c>
      <c r="FC38" s="224">
        <v>0</v>
      </c>
      <c r="FD38" s="224">
        <v>0</v>
      </c>
      <c r="FE38" s="224">
        <v>0</v>
      </c>
      <c r="FF38" s="224">
        <v>0</v>
      </c>
      <c r="FG38" s="224">
        <v>0</v>
      </c>
    </row>
    <row r="39" spans="2:163" x14ac:dyDescent="0.25">
      <c r="B39" s="223" t="s">
        <v>443</v>
      </c>
      <c r="C39" s="223" t="s">
        <v>448</v>
      </c>
      <c r="D39" s="223" t="s">
        <v>449</v>
      </c>
      <c r="E39" s="223">
        <v>0</v>
      </c>
      <c r="F39" s="223" t="s">
        <v>450</v>
      </c>
      <c r="G39" s="223" t="s">
        <v>451</v>
      </c>
      <c r="H39" s="224">
        <v>0</v>
      </c>
      <c r="I39" s="224">
        <v>0</v>
      </c>
      <c r="J39" s="224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24">
        <v>0</v>
      </c>
      <c r="AC39" s="224">
        <v>0</v>
      </c>
      <c r="AD39" s="224">
        <v>0</v>
      </c>
      <c r="AE39" s="224">
        <v>0</v>
      </c>
      <c r="AF39" s="224">
        <v>0</v>
      </c>
      <c r="AG39" s="224">
        <v>0</v>
      </c>
      <c r="AH39" s="224">
        <v>0</v>
      </c>
      <c r="AI39" s="224">
        <v>0</v>
      </c>
      <c r="AJ39" s="224">
        <v>0</v>
      </c>
      <c r="AK39" s="224">
        <v>0</v>
      </c>
      <c r="AL39" s="224">
        <v>0</v>
      </c>
      <c r="AM39" s="224">
        <v>0</v>
      </c>
      <c r="AN39" s="224">
        <v>0</v>
      </c>
      <c r="AO39" s="224">
        <v>0</v>
      </c>
      <c r="AP39" s="224">
        <v>0</v>
      </c>
      <c r="AQ39" s="224">
        <v>0</v>
      </c>
      <c r="AR39" s="224">
        <v>0</v>
      </c>
      <c r="AS39" s="224">
        <v>0</v>
      </c>
      <c r="AT39" s="224">
        <v>0</v>
      </c>
      <c r="AU39" s="224">
        <v>0</v>
      </c>
      <c r="AV39" s="224">
        <v>0</v>
      </c>
      <c r="AW39" s="224">
        <v>0</v>
      </c>
      <c r="AX39" s="224">
        <v>0</v>
      </c>
      <c r="AY39" s="224">
        <v>0</v>
      </c>
      <c r="AZ39" s="224">
        <v>0</v>
      </c>
      <c r="BA39" s="224">
        <v>0</v>
      </c>
      <c r="BB39" s="224">
        <v>0</v>
      </c>
      <c r="BC39" s="224">
        <v>0</v>
      </c>
      <c r="BD39" s="224">
        <v>0</v>
      </c>
      <c r="BE39" s="224">
        <v>0</v>
      </c>
      <c r="BF39" s="224">
        <v>0</v>
      </c>
      <c r="BG39" s="224">
        <v>0</v>
      </c>
      <c r="BH39" s="224">
        <v>0</v>
      </c>
      <c r="BI39" s="224">
        <v>0</v>
      </c>
      <c r="BJ39" s="224">
        <v>0</v>
      </c>
      <c r="BK39" s="224">
        <v>0</v>
      </c>
      <c r="BL39" s="224">
        <v>0</v>
      </c>
      <c r="BM39" s="224">
        <v>0</v>
      </c>
      <c r="BN39" s="224">
        <v>0</v>
      </c>
      <c r="BO39" s="224">
        <v>0</v>
      </c>
      <c r="BP39" s="224">
        <v>0</v>
      </c>
      <c r="BQ39" s="224">
        <v>0</v>
      </c>
      <c r="BR39" s="224">
        <v>0</v>
      </c>
      <c r="BS39" s="224">
        <v>0</v>
      </c>
      <c r="BT39" s="224">
        <v>0</v>
      </c>
      <c r="BU39" s="224">
        <v>0</v>
      </c>
      <c r="BV39" s="224">
        <v>0</v>
      </c>
      <c r="BW39" s="224">
        <v>0</v>
      </c>
      <c r="BX39" s="224">
        <v>0</v>
      </c>
      <c r="BY39" s="224">
        <v>0</v>
      </c>
      <c r="BZ39" s="224">
        <v>0</v>
      </c>
      <c r="CA39" s="224">
        <v>0</v>
      </c>
      <c r="CB39" s="224">
        <v>0</v>
      </c>
      <c r="CC39" s="224">
        <v>0</v>
      </c>
      <c r="CD39" s="224">
        <v>0</v>
      </c>
      <c r="CE39" s="224">
        <v>0</v>
      </c>
      <c r="CF39" s="224">
        <v>0</v>
      </c>
      <c r="CG39" s="224">
        <v>0</v>
      </c>
      <c r="CH39" s="224">
        <v>0</v>
      </c>
      <c r="CI39" s="224">
        <v>0</v>
      </c>
      <c r="CJ39" s="224">
        <v>0</v>
      </c>
      <c r="CK39" s="224">
        <v>0</v>
      </c>
      <c r="CL39" s="224">
        <v>0</v>
      </c>
      <c r="CM39" s="224">
        <v>0</v>
      </c>
      <c r="CN39" s="224">
        <v>0</v>
      </c>
      <c r="CO39" s="224">
        <v>0</v>
      </c>
      <c r="CP39" s="224">
        <v>0</v>
      </c>
      <c r="CQ39" s="224">
        <v>0</v>
      </c>
      <c r="CR39" s="224">
        <v>0</v>
      </c>
      <c r="CS39" s="224">
        <v>0</v>
      </c>
      <c r="CT39" s="224">
        <v>0</v>
      </c>
      <c r="CU39" s="224">
        <v>0</v>
      </c>
      <c r="CV39" s="224">
        <v>0</v>
      </c>
      <c r="CW39" s="224">
        <v>0</v>
      </c>
      <c r="CX39" s="224">
        <v>0</v>
      </c>
      <c r="CY39" s="224">
        <v>0</v>
      </c>
      <c r="CZ39" s="224">
        <v>0</v>
      </c>
      <c r="DA39" s="224">
        <v>0</v>
      </c>
      <c r="DB39" s="224">
        <v>0</v>
      </c>
      <c r="DC39" s="224">
        <v>0</v>
      </c>
      <c r="DD39" s="224">
        <v>0</v>
      </c>
      <c r="DE39" s="224">
        <v>0</v>
      </c>
      <c r="DF39" s="224">
        <v>0</v>
      </c>
      <c r="DG39" s="224">
        <v>0</v>
      </c>
      <c r="DH39" s="224">
        <v>0</v>
      </c>
      <c r="DI39" s="224">
        <v>0</v>
      </c>
      <c r="DJ39" s="224">
        <v>0</v>
      </c>
      <c r="DK39" s="224">
        <v>0</v>
      </c>
      <c r="DL39" s="224">
        <v>0</v>
      </c>
      <c r="DM39" s="224">
        <v>0</v>
      </c>
      <c r="DN39" s="224">
        <v>0</v>
      </c>
      <c r="DO39" s="224">
        <v>0</v>
      </c>
      <c r="DP39" s="224">
        <v>0</v>
      </c>
      <c r="DQ39" s="224">
        <v>0</v>
      </c>
      <c r="DR39" s="224">
        <v>0</v>
      </c>
      <c r="DS39" s="224">
        <v>0</v>
      </c>
      <c r="DT39" s="224">
        <v>0</v>
      </c>
      <c r="DU39" s="224">
        <v>0</v>
      </c>
      <c r="DV39" s="224">
        <v>0</v>
      </c>
      <c r="DW39" s="224">
        <v>0</v>
      </c>
      <c r="DX39" s="224">
        <v>0</v>
      </c>
      <c r="DY39" s="224">
        <v>0</v>
      </c>
      <c r="DZ39" s="224">
        <v>0</v>
      </c>
      <c r="EA39" s="224">
        <v>0</v>
      </c>
      <c r="EB39" s="224">
        <v>0</v>
      </c>
      <c r="EC39" s="224">
        <v>0</v>
      </c>
      <c r="ED39" s="224">
        <v>0</v>
      </c>
      <c r="EE39" s="224">
        <v>0</v>
      </c>
      <c r="EF39" s="224">
        <v>0</v>
      </c>
      <c r="EG39" s="224">
        <v>0</v>
      </c>
      <c r="EH39" s="224">
        <v>0</v>
      </c>
      <c r="EI39" s="224">
        <v>0</v>
      </c>
      <c r="EJ39" s="224">
        <v>0</v>
      </c>
      <c r="EK39" s="224">
        <v>0</v>
      </c>
      <c r="EL39" s="224">
        <v>0</v>
      </c>
      <c r="EM39" s="224">
        <v>0</v>
      </c>
      <c r="EN39" s="224">
        <v>0</v>
      </c>
      <c r="EO39" s="224">
        <v>0</v>
      </c>
      <c r="EP39" s="224">
        <v>0</v>
      </c>
      <c r="EQ39" s="224">
        <v>0</v>
      </c>
      <c r="ER39" s="224">
        <v>0</v>
      </c>
      <c r="ES39" s="224">
        <v>0</v>
      </c>
      <c r="ET39" s="224">
        <v>0</v>
      </c>
      <c r="EU39" s="224">
        <v>0</v>
      </c>
      <c r="EV39" s="224">
        <v>0</v>
      </c>
      <c r="EW39" s="224">
        <v>0</v>
      </c>
      <c r="EX39" s="224">
        <v>0</v>
      </c>
      <c r="EY39" s="224">
        <v>0</v>
      </c>
      <c r="EZ39" s="224">
        <v>0</v>
      </c>
      <c r="FA39" s="224">
        <v>0</v>
      </c>
      <c r="FB39" s="224">
        <v>0</v>
      </c>
      <c r="FC39" s="224">
        <v>0</v>
      </c>
      <c r="FD39" s="224">
        <v>0</v>
      </c>
      <c r="FE39" s="224">
        <v>0</v>
      </c>
      <c r="FF39" s="224">
        <v>0</v>
      </c>
      <c r="FG39" s="224">
        <v>0</v>
      </c>
    </row>
    <row r="40" spans="2:163" x14ac:dyDescent="0.25">
      <c r="B40" s="223" t="s">
        <v>443</v>
      </c>
      <c r="C40" s="223" t="s">
        <v>444</v>
      </c>
      <c r="D40" s="223" t="s">
        <v>445</v>
      </c>
      <c r="E40" s="223">
        <v>0</v>
      </c>
      <c r="F40" s="223" t="s">
        <v>446</v>
      </c>
      <c r="G40" s="223" t="s">
        <v>452</v>
      </c>
      <c r="H40" s="224">
        <v>0</v>
      </c>
      <c r="I40" s="224">
        <v>0</v>
      </c>
      <c r="J40" s="224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4">
        <v>0</v>
      </c>
      <c r="X40" s="224">
        <v>0</v>
      </c>
      <c r="Y40" s="224">
        <v>0</v>
      </c>
      <c r="Z40" s="224">
        <v>0</v>
      </c>
      <c r="AA40" s="224">
        <v>0</v>
      </c>
      <c r="AB40" s="224">
        <v>0</v>
      </c>
      <c r="AC40" s="224">
        <v>0</v>
      </c>
      <c r="AD40" s="224">
        <v>0</v>
      </c>
      <c r="AE40" s="224">
        <v>0</v>
      </c>
      <c r="AF40" s="224">
        <v>0</v>
      </c>
      <c r="AG40" s="224">
        <v>0</v>
      </c>
      <c r="AH40" s="224">
        <v>0</v>
      </c>
      <c r="AI40" s="224">
        <v>0</v>
      </c>
      <c r="AJ40" s="224">
        <v>0</v>
      </c>
      <c r="AK40" s="224">
        <v>0</v>
      </c>
      <c r="AL40" s="224">
        <v>0</v>
      </c>
      <c r="AM40" s="224">
        <v>0</v>
      </c>
      <c r="AN40" s="224">
        <v>0</v>
      </c>
      <c r="AO40" s="224">
        <v>0</v>
      </c>
      <c r="AP40" s="224">
        <v>0</v>
      </c>
      <c r="AQ40" s="224">
        <v>0</v>
      </c>
      <c r="AR40" s="224">
        <v>0</v>
      </c>
      <c r="AS40" s="224">
        <v>0</v>
      </c>
      <c r="AT40" s="224">
        <v>0</v>
      </c>
      <c r="AU40" s="224">
        <v>0</v>
      </c>
      <c r="AV40" s="224">
        <v>0</v>
      </c>
      <c r="AW40" s="224">
        <v>0</v>
      </c>
      <c r="AX40" s="224">
        <v>0</v>
      </c>
      <c r="AY40" s="224">
        <v>0</v>
      </c>
      <c r="AZ40" s="224">
        <v>0</v>
      </c>
      <c r="BA40" s="224">
        <v>0</v>
      </c>
      <c r="BB40" s="224">
        <v>0</v>
      </c>
      <c r="BC40" s="224">
        <v>0</v>
      </c>
      <c r="BD40" s="224">
        <v>0</v>
      </c>
      <c r="BE40" s="224">
        <v>0</v>
      </c>
      <c r="BF40" s="224">
        <v>0</v>
      </c>
      <c r="BG40" s="224">
        <v>0</v>
      </c>
      <c r="BH40" s="224">
        <v>0</v>
      </c>
      <c r="BI40" s="224">
        <v>0</v>
      </c>
      <c r="BJ40" s="224">
        <v>0</v>
      </c>
      <c r="BK40" s="224">
        <v>0</v>
      </c>
      <c r="BL40" s="224">
        <v>0</v>
      </c>
      <c r="BM40" s="224">
        <v>0</v>
      </c>
      <c r="BN40" s="224">
        <v>0</v>
      </c>
      <c r="BO40" s="224">
        <v>0</v>
      </c>
      <c r="BP40" s="224">
        <v>0</v>
      </c>
      <c r="BQ40" s="224">
        <v>0</v>
      </c>
      <c r="BR40" s="224">
        <v>0</v>
      </c>
      <c r="BS40" s="224">
        <v>0</v>
      </c>
      <c r="BT40" s="224">
        <v>0</v>
      </c>
      <c r="BU40" s="224">
        <v>0</v>
      </c>
      <c r="BV40" s="224">
        <v>0</v>
      </c>
      <c r="BW40" s="224">
        <v>0</v>
      </c>
      <c r="BX40" s="224">
        <v>0</v>
      </c>
      <c r="BY40" s="224">
        <v>0</v>
      </c>
      <c r="BZ40" s="224">
        <v>0</v>
      </c>
      <c r="CA40" s="224">
        <v>0</v>
      </c>
      <c r="CB40" s="224">
        <v>0</v>
      </c>
      <c r="CC40" s="224">
        <v>0</v>
      </c>
      <c r="CD40" s="224">
        <v>0</v>
      </c>
      <c r="CE40" s="224">
        <v>0</v>
      </c>
      <c r="CF40" s="224">
        <v>0</v>
      </c>
      <c r="CG40" s="224">
        <v>0</v>
      </c>
      <c r="CH40" s="224">
        <v>0</v>
      </c>
      <c r="CI40" s="224">
        <v>0</v>
      </c>
      <c r="CJ40" s="224">
        <v>0</v>
      </c>
      <c r="CK40" s="224">
        <v>0</v>
      </c>
      <c r="CL40" s="224">
        <v>0</v>
      </c>
      <c r="CM40" s="224">
        <v>0</v>
      </c>
      <c r="CN40" s="224">
        <v>0</v>
      </c>
      <c r="CO40" s="224">
        <v>0</v>
      </c>
      <c r="CP40" s="224">
        <v>0</v>
      </c>
      <c r="CQ40" s="224">
        <v>0</v>
      </c>
      <c r="CR40" s="224">
        <v>0</v>
      </c>
      <c r="CS40" s="224">
        <v>0</v>
      </c>
      <c r="CT40" s="224">
        <v>0</v>
      </c>
      <c r="CU40" s="224">
        <v>0</v>
      </c>
      <c r="CV40" s="224">
        <v>0</v>
      </c>
      <c r="CW40" s="224">
        <v>0</v>
      </c>
      <c r="CX40" s="224">
        <v>0</v>
      </c>
      <c r="CY40" s="224">
        <v>0</v>
      </c>
      <c r="CZ40" s="224">
        <v>0</v>
      </c>
      <c r="DA40" s="224">
        <v>0</v>
      </c>
      <c r="DB40" s="224">
        <v>0</v>
      </c>
      <c r="DC40" s="224">
        <v>0</v>
      </c>
      <c r="DD40" s="224">
        <v>0</v>
      </c>
      <c r="DE40" s="224">
        <v>0</v>
      </c>
      <c r="DF40" s="224">
        <v>0</v>
      </c>
      <c r="DG40" s="224">
        <v>0</v>
      </c>
      <c r="DH40" s="224">
        <v>0</v>
      </c>
      <c r="DI40" s="224">
        <v>0</v>
      </c>
      <c r="DJ40" s="224">
        <v>0</v>
      </c>
      <c r="DK40" s="224">
        <v>0</v>
      </c>
      <c r="DL40" s="224">
        <v>0</v>
      </c>
      <c r="DM40" s="224">
        <v>0</v>
      </c>
      <c r="DN40" s="224">
        <v>0</v>
      </c>
      <c r="DO40" s="224">
        <v>0</v>
      </c>
      <c r="DP40" s="224">
        <v>0</v>
      </c>
      <c r="DQ40" s="224">
        <v>0</v>
      </c>
      <c r="DR40" s="224">
        <v>0</v>
      </c>
      <c r="DS40" s="224">
        <v>0</v>
      </c>
      <c r="DT40" s="224">
        <v>0</v>
      </c>
      <c r="DU40" s="224">
        <v>0</v>
      </c>
      <c r="DV40" s="224">
        <v>0</v>
      </c>
      <c r="DW40" s="224">
        <v>0</v>
      </c>
      <c r="DX40" s="224">
        <v>0</v>
      </c>
      <c r="DY40" s="224">
        <v>0</v>
      </c>
      <c r="DZ40" s="224">
        <v>0</v>
      </c>
      <c r="EA40" s="224">
        <v>0</v>
      </c>
      <c r="EB40" s="224">
        <v>0</v>
      </c>
      <c r="EC40" s="224">
        <v>0</v>
      </c>
      <c r="ED40" s="224">
        <v>0</v>
      </c>
      <c r="EE40" s="224">
        <v>0</v>
      </c>
      <c r="EF40" s="224">
        <v>0</v>
      </c>
      <c r="EG40" s="224">
        <v>0</v>
      </c>
      <c r="EH40" s="224">
        <v>0</v>
      </c>
      <c r="EI40" s="224">
        <v>0</v>
      </c>
      <c r="EJ40" s="224">
        <v>0</v>
      </c>
      <c r="EK40" s="224">
        <v>0</v>
      </c>
      <c r="EL40" s="224">
        <v>0</v>
      </c>
      <c r="EM40" s="224">
        <v>0</v>
      </c>
      <c r="EN40" s="224">
        <v>0</v>
      </c>
      <c r="EO40" s="224">
        <v>0</v>
      </c>
      <c r="EP40" s="224">
        <v>0</v>
      </c>
      <c r="EQ40" s="224">
        <v>0</v>
      </c>
      <c r="ER40" s="224">
        <v>0</v>
      </c>
      <c r="ES40" s="224">
        <v>0</v>
      </c>
      <c r="ET40" s="224">
        <v>0</v>
      </c>
      <c r="EU40" s="224">
        <v>0</v>
      </c>
      <c r="EV40" s="224">
        <v>0</v>
      </c>
      <c r="EW40" s="224">
        <v>0</v>
      </c>
      <c r="EX40" s="224">
        <v>0</v>
      </c>
      <c r="EY40" s="224">
        <v>0</v>
      </c>
      <c r="EZ40" s="224">
        <v>0</v>
      </c>
      <c r="FA40" s="224">
        <v>0</v>
      </c>
      <c r="FB40" s="224">
        <v>0</v>
      </c>
      <c r="FC40" s="224">
        <v>0</v>
      </c>
      <c r="FD40" s="224">
        <v>0</v>
      </c>
      <c r="FE40" s="224">
        <v>0</v>
      </c>
      <c r="FF40" s="224">
        <v>0</v>
      </c>
      <c r="FG40" s="224">
        <v>0</v>
      </c>
    </row>
    <row r="41" spans="2:163" x14ac:dyDescent="0.25">
      <c r="B41" s="223" t="s">
        <v>443</v>
      </c>
      <c r="C41" s="223" t="s">
        <v>453</v>
      </c>
      <c r="D41" s="223" t="s">
        <v>454</v>
      </c>
      <c r="E41" s="223">
        <v>0</v>
      </c>
      <c r="F41" s="223" t="s">
        <v>455</v>
      </c>
      <c r="G41" s="223" t="s">
        <v>456</v>
      </c>
      <c r="H41" s="224">
        <v>0</v>
      </c>
      <c r="I41" s="224">
        <v>0</v>
      </c>
      <c r="J41" s="224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4">
        <v>0</v>
      </c>
      <c r="X41" s="224">
        <v>0</v>
      </c>
      <c r="Y41" s="224">
        <v>0</v>
      </c>
      <c r="Z41" s="224">
        <v>0</v>
      </c>
      <c r="AA41" s="224">
        <v>0</v>
      </c>
      <c r="AB41" s="224">
        <v>0</v>
      </c>
      <c r="AC41" s="224">
        <v>0</v>
      </c>
      <c r="AD41" s="224">
        <v>0</v>
      </c>
      <c r="AE41" s="224">
        <v>0</v>
      </c>
      <c r="AF41" s="224">
        <v>0</v>
      </c>
      <c r="AG41" s="224">
        <v>0</v>
      </c>
      <c r="AH41" s="224">
        <v>0</v>
      </c>
      <c r="AI41" s="224">
        <v>0</v>
      </c>
      <c r="AJ41" s="224">
        <v>0</v>
      </c>
      <c r="AK41" s="224">
        <v>0</v>
      </c>
      <c r="AL41" s="224">
        <v>0</v>
      </c>
      <c r="AM41" s="224">
        <v>0</v>
      </c>
      <c r="AN41" s="224">
        <v>0</v>
      </c>
      <c r="AO41" s="224">
        <v>0</v>
      </c>
      <c r="AP41" s="224">
        <v>0</v>
      </c>
      <c r="AQ41" s="224">
        <v>0</v>
      </c>
      <c r="AR41" s="224">
        <v>0</v>
      </c>
      <c r="AS41" s="224">
        <v>0</v>
      </c>
      <c r="AT41" s="224">
        <v>0</v>
      </c>
      <c r="AU41" s="224">
        <v>0</v>
      </c>
      <c r="AV41" s="224">
        <v>0</v>
      </c>
      <c r="AW41" s="224">
        <v>0</v>
      </c>
      <c r="AX41" s="224">
        <v>0</v>
      </c>
      <c r="AY41" s="224">
        <v>0</v>
      </c>
      <c r="AZ41" s="224">
        <v>0</v>
      </c>
      <c r="BA41" s="224">
        <v>0</v>
      </c>
      <c r="BB41" s="224">
        <v>0</v>
      </c>
      <c r="BC41" s="224">
        <v>0</v>
      </c>
      <c r="BD41" s="224">
        <v>0</v>
      </c>
      <c r="BE41" s="224">
        <v>0</v>
      </c>
      <c r="BF41" s="224">
        <v>0</v>
      </c>
      <c r="BG41" s="224">
        <v>0</v>
      </c>
      <c r="BH41" s="224">
        <v>0</v>
      </c>
      <c r="BI41" s="224">
        <v>0</v>
      </c>
      <c r="BJ41" s="224">
        <v>0</v>
      </c>
      <c r="BK41" s="224">
        <v>0</v>
      </c>
      <c r="BL41" s="224">
        <v>0</v>
      </c>
      <c r="BM41" s="224">
        <v>0</v>
      </c>
      <c r="BN41" s="224">
        <v>0</v>
      </c>
      <c r="BO41" s="224">
        <v>0</v>
      </c>
      <c r="BP41" s="224">
        <v>0</v>
      </c>
      <c r="BQ41" s="224">
        <v>0</v>
      </c>
      <c r="BR41" s="224">
        <v>0</v>
      </c>
      <c r="BS41" s="224">
        <v>0</v>
      </c>
      <c r="BT41" s="224">
        <v>0</v>
      </c>
      <c r="BU41" s="224">
        <v>0</v>
      </c>
      <c r="BV41" s="224">
        <v>0</v>
      </c>
      <c r="BW41" s="224">
        <v>0</v>
      </c>
      <c r="BX41" s="224">
        <v>0</v>
      </c>
      <c r="BY41" s="224">
        <v>0</v>
      </c>
      <c r="BZ41" s="224">
        <v>0</v>
      </c>
      <c r="CA41" s="224">
        <v>0</v>
      </c>
      <c r="CB41" s="224">
        <v>0</v>
      </c>
      <c r="CC41" s="224">
        <v>0</v>
      </c>
      <c r="CD41" s="224">
        <v>0</v>
      </c>
      <c r="CE41" s="224">
        <v>0</v>
      </c>
      <c r="CF41" s="224">
        <v>0</v>
      </c>
      <c r="CG41" s="224">
        <v>0</v>
      </c>
      <c r="CH41" s="224">
        <v>0</v>
      </c>
      <c r="CI41" s="224">
        <v>0</v>
      </c>
      <c r="CJ41" s="224">
        <v>0</v>
      </c>
      <c r="CK41" s="224">
        <v>0</v>
      </c>
      <c r="CL41" s="224">
        <v>0</v>
      </c>
      <c r="CM41" s="224">
        <v>0</v>
      </c>
      <c r="CN41" s="224">
        <v>0</v>
      </c>
      <c r="CO41" s="224">
        <v>0</v>
      </c>
      <c r="CP41" s="224">
        <v>0</v>
      </c>
      <c r="CQ41" s="224">
        <v>0</v>
      </c>
      <c r="CR41" s="224">
        <v>0</v>
      </c>
      <c r="CS41" s="224">
        <v>0</v>
      </c>
      <c r="CT41" s="224">
        <v>0</v>
      </c>
      <c r="CU41" s="224">
        <v>0</v>
      </c>
      <c r="CV41" s="224">
        <v>0</v>
      </c>
      <c r="CW41" s="224">
        <v>0</v>
      </c>
      <c r="CX41" s="224">
        <v>0</v>
      </c>
      <c r="CY41" s="224">
        <v>0</v>
      </c>
      <c r="CZ41" s="224">
        <v>0</v>
      </c>
      <c r="DA41" s="224">
        <v>0</v>
      </c>
      <c r="DB41" s="224">
        <v>0</v>
      </c>
      <c r="DC41" s="224">
        <v>0</v>
      </c>
      <c r="DD41" s="224">
        <v>0</v>
      </c>
      <c r="DE41" s="224">
        <v>0</v>
      </c>
      <c r="DF41" s="224">
        <v>0</v>
      </c>
      <c r="DG41" s="224">
        <v>0</v>
      </c>
      <c r="DH41" s="224">
        <v>0</v>
      </c>
      <c r="DI41" s="224">
        <v>0</v>
      </c>
      <c r="DJ41" s="224">
        <v>0</v>
      </c>
      <c r="DK41" s="224">
        <v>0</v>
      </c>
      <c r="DL41" s="224">
        <v>0</v>
      </c>
      <c r="DM41" s="224">
        <v>0</v>
      </c>
      <c r="DN41" s="224">
        <v>0</v>
      </c>
      <c r="DO41" s="224">
        <v>0</v>
      </c>
      <c r="DP41" s="224">
        <v>0</v>
      </c>
      <c r="DQ41" s="224">
        <v>0</v>
      </c>
      <c r="DR41" s="224">
        <v>0</v>
      </c>
      <c r="DS41" s="224">
        <v>0</v>
      </c>
      <c r="DT41" s="224">
        <v>0</v>
      </c>
      <c r="DU41" s="224">
        <v>0</v>
      </c>
      <c r="DV41" s="224">
        <v>0</v>
      </c>
      <c r="DW41" s="224">
        <v>0</v>
      </c>
      <c r="DX41" s="224">
        <v>0</v>
      </c>
      <c r="DY41" s="224">
        <v>0</v>
      </c>
      <c r="DZ41" s="224">
        <v>0</v>
      </c>
      <c r="EA41" s="224">
        <v>0</v>
      </c>
      <c r="EB41" s="224">
        <v>0</v>
      </c>
      <c r="EC41" s="224">
        <v>0</v>
      </c>
      <c r="ED41" s="224">
        <v>0</v>
      </c>
      <c r="EE41" s="224">
        <v>0</v>
      </c>
      <c r="EF41" s="224">
        <v>0</v>
      </c>
      <c r="EG41" s="224">
        <v>0</v>
      </c>
      <c r="EH41" s="224">
        <v>0</v>
      </c>
      <c r="EI41" s="224">
        <v>0</v>
      </c>
      <c r="EJ41" s="224">
        <v>0</v>
      </c>
      <c r="EK41" s="224">
        <v>0</v>
      </c>
      <c r="EL41" s="224">
        <v>0</v>
      </c>
      <c r="EM41" s="224">
        <v>0</v>
      </c>
      <c r="EN41" s="224">
        <v>0</v>
      </c>
      <c r="EO41" s="224">
        <v>0</v>
      </c>
      <c r="EP41" s="224">
        <v>0</v>
      </c>
      <c r="EQ41" s="224">
        <v>0</v>
      </c>
      <c r="ER41" s="224">
        <v>0</v>
      </c>
      <c r="ES41" s="224">
        <v>0</v>
      </c>
      <c r="ET41" s="224">
        <v>0</v>
      </c>
      <c r="EU41" s="224">
        <v>0</v>
      </c>
      <c r="EV41" s="224">
        <v>0</v>
      </c>
      <c r="EW41" s="224">
        <v>0</v>
      </c>
      <c r="EX41" s="224">
        <v>0</v>
      </c>
      <c r="EY41" s="224">
        <v>0</v>
      </c>
      <c r="EZ41" s="224">
        <v>0</v>
      </c>
      <c r="FA41" s="224">
        <v>0</v>
      </c>
      <c r="FB41" s="224">
        <v>0</v>
      </c>
      <c r="FC41" s="224">
        <v>0</v>
      </c>
      <c r="FD41" s="224">
        <v>0</v>
      </c>
      <c r="FE41" s="224">
        <v>0</v>
      </c>
      <c r="FF41" s="224">
        <v>0</v>
      </c>
      <c r="FG41" s="224">
        <v>0</v>
      </c>
    </row>
    <row r="42" spans="2:163" x14ac:dyDescent="0.25">
      <c r="B42" s="223" t="s">
        <v>443</v>
      </c>
      <c r="C42" s="223" t="s">
        <v>453</v>
      </c>
      <c r="D42" s="223" t="s">
        <v>454</v>
      </c>
      <c r="E42" s="223">
        <v>0</v>
      </c>
      <c r="F42" s="223" t="s">
        <v>457</v>
      </c>
      <c r="G42" s="223" t="s">
        <v>457</v>
      </c>
      <c r="H42" s="224">
        <v>0</v>
      </c>
      <c r="I42" s="224">
        <v>0</v>
      </c>
      <c r="J42" s="224">
        <v>0</v>
      </c>
      <c r="K42" s="224">
        <v>0</v>
      </c>
      <c r="L42" s="224">
        <v>0</v>
      </c>
      <c r="M42" s="224">
        <v>0</v>
      </c>
      <c r="N42" s="224">
        <v>0</v>
      </c>
      <c r="O42" s="224">
        <v>0</v>
      </c>
      <c r="P42" s="224">
        <v>0</v>
      </c>
      <c r="Q42" s="224">
        <v>0</v>
      </c>
      <c r="R42" s="224">
        <v>0</v>
      </c>
      <c r="S42" s="224">
        <v>0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24">
        <v>0</v>
      </c>
      <c r="AC42" s="224">
        <v>0</v>
      </c>
      <c r="AD42" s="224">
        <v>0</v>
      </c>
      <c r="AE42" s="224">
        <v>0</v>
      </c>
      <c r="AF42" s="224">
        <v>0</v>
      </c>
      <c r="AG42" s="224">
        <v>0</v>
      </c>
      <c r="AH42" s="224">
        <v>0</v>
      </c>
      <c r="AI42" s="224">
        <v>0</v>
      </c>
      <c r="AJ42" s="224">
        <v>0</v>
      </c>
      <c r="AK42" s="224">
        <v>0</v>
      </c>
      <c r="AL42" s="224">
        <v>0</v>
      </c>
      <c r="AM42" s="224">
        <v>0</v>
      </c>
      <c r="AN42" s="224">
        <v>0</v>
      </c>
      <c r="AO42" s="224">
        <v>0</v>
      </c>
      <c r="AP42" s="224">
        <v>0</v>
      </c>
      <c r="AQ42" s="224">
        <v>0</v>
      </c>
      <c r="AR42" s="224">
        <v>0</v>
      </c>
      <c r="AS42" s="224">
        <v>0</v>
      </c>
      <c r="AT42" s="224">
        <v>0</v>
      </c>
      <c r="AU42" s="224">
        <v>0</v>
      </c>
      <c r="AV42" s="224">
        <v>0</v>
      </c>
      <c r="AW42" s="224">
        <v>0</v>
      </c>
      <c r="AX42" s="224">
        <v>0</v>
      </c>
      <c r="AY42" s="224">
        <v>0</v>
      </c>
      <c r="AZ42" s="224">
        <v>0</v>
      </c>
      <c r="BA42" s="224">
        <v>0</v>
      </c>
      <c r="BB42" s="224">
        <v>0</v>
      </c>
      <c r="BC42" s="224">
        <v>0</v>
      </c>
      <c r="BD42" s="224">
        <v>0</v>
      </c>
      <c r="BE42" s="224">
        <v>0</v>
      </c>
      <c r="BF42" s="224">
        <v>0</v>
      </c>
      <c r="BG42" s="224">
        <v>0</v>
      </c>
      <c r="BH42" s="224">
        <v>0</v>
      </c>
      <c r="BI42" s="224">
        <v>0</v>
      </c>
      <c r="BJ42" s="224">
        <v>0</v>
      </c>
      <c r="BK42" s="224">
        <v>0</v>
      </c>
      <c r="BL42" s="224">
        <v>0</v>
      </c>
      <c r="BM42" s="224">
        <v>0</v>
      </c>
      <c r="BN42" s="224">
        <v>0</v>
      </c>
      <c r="BO42" s="224">
        <v>0</v>
      </c>
      <c r="BP42" s="224">
        <v>0</v>
      </c>
      <c r="BQ42" s="224">
        <v>0</v>
      </c>
      <c r="BR42" s="224">
        <v>0</v>
      </c>
      <c r="BS42" s="224">
        <v>0</v>
      </c>
      <c r="BT42" s="224">
        <v>0</v>
      </c>
      <c r="BU42" s="224">
        <v>0</v>
      </c>
      <c r="BV42" s="224">
        <v>0</v>
      </c>
      <c r="BW42" s="224">
        <v>0</v>
      </c>
      <c r="BX42" s="224">
        <v>0</v>
      </c>
      <c r="BY42" s="224">
        <v>0</v>
      </c>
      <c r="BZ42" s="224">
        <v>0</v>
      </c>
      <c r="CA42" s="224">
        <v>0</v>
      </c>
      <c r="CB42" s="224">
        <v>0</v>
      </c>
      <c r="CC42" s="224">
        <v>0</v>
      </c>
      <c r="CD42" s="224">
        <v>0</v>
      </c>
      <c r="CE42" s="224">
        <v>0</v>
      </c>
      <c r="CF42" s="224">
        <v>0</v>
      </c>
      <c r="CG42" s="224">
        <v>0</v>
      </c>
      <c r="CH42" s="224">
        <v>0</v>
      </c>
      <c r="CI42" s="224">
        <v>0</v>
      </c>
      <c r="CJ42" s="224">
        <v>0</v>
      </c>
      <c r="CK42" s="224">
        <v>0</v>
      </c>
      <c r="CL42" s="224">
        <v>0</v>
      </c>
      <c r="CM42" s="224">
        <v>0</v>
      </c>
      <c r="CN42" s="224">
        <v>0</v>
      </c>
      <c r="CO42" s="224">
        <v>0</v>
      </c>
      <c r="CP42" s="224">
        <v>0</v>
      </c>
      <c r="CQ42" s="224">
        <v>0</v>
      </c>
      <c r="CR42" s="224">
        <v>0</v>
      </c>
      <c r="CS42" s="224">
        <v>0</v>
      </c>
      <c r="CT42" s="224">
        <v>0</v>
      </c>
      <c r="CU42" s="224">
        <v>0</v>
      </c>
      <c r="CV42" s="224">
        <v>0</v>
      </c>
      <c r="CW42" s="224">
        <v>0</v>
      </c>
      <c r="CX42" s="224">
        <v>0</v>
      </c>
      <c r="CY42" s="224">
        <v>0</v>
      </c>
      <c r="CZ42" s="224">
        <v>0</v>
      </c>
      <c r="DA42" s="224">
        <v>0</v>
      </c>
      <c r="DB42" s="224">
        <v>0</v>
      </c>
      <c r="DC42" s="224">
        <v>0</v>
      </c>
      <c r="DD42" s="224">
        <v>0</v>
      </c>
      <c r="DE42" s="224">
        <v>0</v>
      </c>
      <c r="DF42" s="224">
        <v>0</v>
      </c>
      <c r="DG42" s="224">
        <v>0</v>
      </c>
      <c r="DH42" s="224">
        <v>0</v>
      </c>
      <c r="DI42" s="224">
        <v>0</v>
      </c>
      <c r="DJ42" s="224">
        <v>0</v>
      </c>
      <c r="DK42" s="224">
        <v>0</v>
      </c>
      <c r="DL42" s="224">
        <v>0</v>
      </c>
      <c r="DM42" s="224">
        <v>0</v>
      </c>
      <c r="DN42" s="224">
        <v>0</v>
      </c>
      <c r="DO42" s="224">
        <v>0</v>
      </c>
      <c r="DP42" s="224">
        <v>0</v>
      </c>
      <c r="DQ42" s="224">
        <v>0</v>
      </c>
      <c r="DR42" s="224">
        <v>0</v>
      </c>
      <c r="DS42" s="224">
        <v>0</v>
      </c>
      <c r="DT42" s="224">
        <v>0</v>
      </c>
      <c r="DU42" s="224">
        <v>0</v>
      </c>
      <c r="DV42" s="224">
        <v>0</v>
      </c>
      <c r="DW42" s="224">
        <v>0</v>
      </c>
      <c r="DX42" s="224">
        <v>0</v>
      </c>
      <c r="DY42" s="224">
        <v>0</v>
      </c>
      <c r="DZ42" s="224">
        <v>0</v>
      </c>
      <c r="EA42" s="224">
        <v>0</v>
      </c>
      <c r="EB42" s="224">
        <v>0</v>
      </c>
      <c r="EC42" s="224">
        <v>0</v>
      </c>
      <c r="ED42" s="224">
        <v>0</v>
      </c>
      <c r="EE42" s="224">
        <v>0</v>
      </c>
      <c r="EF42" s="224">
        <v>0</v>
      </c>
      <c r="EG42" s="224">
        <v>0</v>
      </c>
      <c r="EH42" s="224">
        <v>0</v>
      </c>
      <c r="EI42" s="224">
        <v>0</v>
      </c>
      <c r="EJ42" s="224">
        <v>0</v>
      </c>
      <c r="EK42" s="224">
        <v>0</v>
      </c>
      <c r="EL42" s="224">
        <v>0</v>
      </c>
      <c r="EM42" s="224">
        <v>0</v>
      </c>
      <c r="EN42" s="224">
        <v>0</v>
      </c>
      <c r="EO42" s="224">
        <v>0</v>
      </c>
      <c r="EP42" s="224">
        <v>0</v>
      </c>
      <c r="EQ42" s="224">
        <v>0</v>
      </c>
      <c r="ER42" s="224">
        <v>0</v>
      </c>
      <c r="ES42" s="224">
        <v>0</v>
      </c>
      <c r="ET42" s="224">
        <v>0</v>
      </c>
      <c r="EU42" s="224">
        <v>0</v>
      </c>
      <c r="EV42" s="224">
        <v>0</v>
      </c>
      <c r="EW42" s="224">
        <v>0</v>
      </c>
      <c r="EX42" s="224">
        <v>0</v>
      </c>
      <c r="EY42" s="224">
        <v>0</v>
      </c>
      <c r="EZ42" s="224">
        <v>0</v>
      </c>
      <c r="FA42" s="224">
        <v>0</v>
      </c>
      <c r="FB42" s="224">
        <v>0</v>
      </c>
      <c r="FC42" s="224">
        <v>0</v>
      </c>
      <c r="FD42" s="224">
        <v>0</v>
      </c>
      <c r="FE42" s="224">
        <v>0</v>
      </c>
      <c r="FF42" s="224">
        <v>0</v>
      </c>
      <c r="FG42" s="224">
        <v>0</v>
      </c>
    </row>
    <row r="43" spans="2:163" x14ac:dyDescent="0.25">
      <c r="B43" s="223" t="s">
        <v>443</v>
      </c>
      <c r="C43" s="223" t="s">
        <v>458</v>
      </c>
      <c r="D43" s="223" t="s">
        <v>459</v>
      </c>
      <c r="E43" s="223">
        <v>0</v>
      </c>
      <c r="F43" s="223" t="s">
        <v>460</v>
      </c>
      <c r="G43" s="223" t="s">
        <v>461</v>
      </c>
      <c r="H43" s="224">
        <v>2896.4050948812824</v>
      </c>
      <c r="I43" s="224">
        <v>5744.536771514543</v>
      </c>
      <c r="J43" s="224">
        <v>8544.3950298997825</v>
      </c>
      <c r="K43" s="224">
        <v>11295.979870037001</v>
      </c>
      <c r="L43" s="224">
        <v>13999.291291926198</v>
      </c>
      <c r="M43" s="224">
        <v>16654.329295567375</v>
      </c>
      <c r="N43" s="224">
        <v>19261.093880960532</v>
      </c>
      <c r="O43" s="224">
        <v>21819.585048105666</v>
      </c>
      <c r="P43" s="224">
        <v>24329.80279700278</v>
      </c>
      <c r="Q43" s="224">
        <v>26791.74712765187</v>
      </c>
      <c r="R43" s="224">
        <v>29205.41804005294</v>
      </c>
      <c r="S43" s="224">
        <v>31570.815534205987</v>
      </c>
      <c r="T43" s="224">
        <v>42577.154894754865</v>
      </c>
      <c r="U43" s="224">
        <v>53390.400582311653</v>
      </c>
      <c r="V43" s="224">
        <v>64010.552596876354</v>
      </c>
      <c r="W43" s="224">
        <v>74437.610938448983</v>
      </c>
      <c r="X43" s="224">
        <v>84671.575607029517</v>
      </c>
      <c r="Y43" s="224">
        <v>94712.446602617973</v>
      </c>
      <c r="Z43" s="224">
        <v>104560.22392521433</v>
      </c>
      <c r="AA43" s="224">
        <v>114214.90757481862</v>
      </c>
      <c r="AB43" s="224">
        <v>123676.4975514308</v>
      </c>
      <c r="AC43" s="224">
        <v>132944.99385505091</v>
      </c>
      <c r="AD43" s="224">
        <v>142020.39648567891</v>
      </c>
      <c r="AE43" s="224">
        <v>150902.70544331483</v>
      </c>
      <c r="AF43" s="224">
        <v>159591.92072795867</v>
      </c>
      <c r="AG43" s="224">
        <v>168088.04233961043</v>
      </c>
      <c r="AH43" s="224">
        <v>176391.07027827011</v>
      </c>
      <c r="AI43" s="224">
        <v>184501.00454393768</v>
      </c>
      <c r="AJ43" s="224">
        <v>192417.84513661318</v>
      </c>
      <c r="AK43" s="224">
        <v>200141.59205629659</v>
      </c>
      <c r="AL43" s="224">
        <v>207672.24530298793</v>
      </c>
      <c r="AM43" s="224">
        <v>215009.80487668718</v>
      </c>
      <c r="AN43" s="224">
        <v>222154.27077739433</v>
      </c>
      <c r="AO43" s="224">
        <v>229105.64300510939</v>
      </c>
      <c r="AP43" s="224">
        <v>235863.92155983238</v>
      </c>
      <c r="AQ43" s="224">
        <v>242429.10644156329</v>
      </c>
      <c r="AR43" s="224">
        <v>237215.57727077696</v>
      </c>
      <c r="AS43" s="224">
        <v>232002.04809999064</v>
      </c>
      <c r="AT43" s="224">
        <v>226788.51892920432</v>
      </c>
      <c r="AU43" s="224">
        <v>221574.989758418</v>
      </c>
      <c r="AV43" s="224">
        <v>216361.46058763168</v>
      </c>
      <c r="AW43" s="224">
        <v>211147.93141684536</v>
      </c>
      <c r="AX43" s="224">
        <v>205934.40224605903</v>
      </c>
      <c r="AY43" s="224">
        <v>200720.87307527271</v>
      </c>
      <c r="AZ43" s="224">
        <v>195507.34390448639</v>
      </c>
      <c r="BA43" s="224">
        <v>190293.81473370007</v>
      </c>
      <c r="BB43" s="224">
        <v>185080.28556291375</v>
      </c>
      <c r="BC43" s="224">
        <v>179866.75639212743</v>
      </c>
      <c r="BD43" s="224">
        <v>174653.22722134111</v>
      </c>
      <c r="BE43" s="224">
        <v>169439.69805055478</v>
      </c>
      <c r="BF43" s="224">
        <v>164226.16887976846</v>
      </c>
      <c r="BG43" s="224">
        <v>159012.63970898214</v>
      </c>
      <c r="BH43" s="224">
        <v>153799.11053819582</v>
      </c>
      <c r="BI43" s="224">
        <v>148585.5813674095</v>
      </c>
      <c r="BJ43" s="224">
        <v>143372.05219662318</v>
      </c>
      <c r="BK43" s="224">
        <v>138158.52302583685</v>
      </c>
      <c r="BL43" s="224">
        <v>132944.99385505053</v>
      </c>
      <c r="BM43" s="224">
        <v>127731.46468426423</v>
      </c>
      <c r="BN43" s="224">
        <v>122517.93551347792</v>
      </c>
      <c r="BO43" s="224">
        <v>117304.40634269161</v>
      </c>
      <c r="BP43" s="224">
        <v>112090.8771719053</v>
      </c>
      <c r="BQ43" s="224">
        <v>106925.62141936702</v>
      </c>
      <c r="BR43" s="224">
        <v>101808.63908507675</v>
      </c>
      <c r="BS43" s="224">
        <v>96739.930169034502</v>
      </c>
      <c r="BT43" s="224">
        <v>91719.494671240274</v>
      </c>
      <c r="BU43" s="224">
        <v>86747.332591694081</v>
      </c>
      <c r="BV43" s="224">
        <v>81823.443930395908</v>
      </c>
      <c r="BW43" s="224">
        <v>76947.828687345755</v>
      </c>
      <c r="BX43" s="224">
        <v>72120.486862543621</v>
      </c>
      <c r="BY43" s="224">
        <v>67341.418455989507</v>
      </c>
      <c r="BZ43" s="224">
        <v>62610.623467683414</v>
      </c>
      <c r="CA43" s="224">
        <v>57928.10189762534</v>
      </c>
      <c r="CB43" s="224">
        <v>53293.853745815286</v>
      </c>
      <c r="CC43" s="224">
        <v>48852.699266997319</v>
      </c>
      <c r="CD43" s="224">
        <v>44604.638461171438</v>
      </c>
      <c r="CE43" s="224">
        <v>40549.671328337645</v>
      </c>
      <c r="CF43" s="224">
        <v>36687.797868495938</v>
      </c>
      <c r="CG43" s="224">
        <v>33019.018081646311</v>
      </c>
      <c r="CH43" s="224">
        <v>29543.33196778877</v>
      </c>
      <c r="CI43" s="224">
        <v>26260.739526923317</v>
      </c>
      <c r="CJ43" s="224">
        <v>23171.24075904995</v>
      </c>
      <c r="CK43" s="224">
        <v>20274.835664168666</v>
      </c>
      <c r="CL43" s="224">
        <v>17571.524242279469</v>
      </c>
      <c r="CM43" s="224">
        <v>15061.306493382357</v>
      </c>
      <c r="CN43" s="224">
        <v>12744.18241747733</v>
      </c>
      <c r="CO43" s="224">
        <v>10620.152014564388</v>
      </c>
      <c r="CP43" s="224">
        <v>8689.2152846435329</v>
      </c>
      <c r="CQ43" s="224">
        <v>6951.3722277147626</v>
      </c>
      <c r="CR43" s="224">
        <v>5406.6228437780783</v>
      </c>
      <c r="CS43" s="224">
        <v>4054.9671328334798</v>
      </c>
      <c r="CT43" s="224">
        <v>2896.4050948809668</v>
      </c>
      <c r="CU43" s="224">
        <v>1930.9367299205394</v>
      </c>
      <c r="CV43" s="224">
        <v>1158.5620379521974</v>
      </c>
      <c r="CW43" s="224">
        <v>579.28101897594092</v>
      </c>
      <c r="CX43" s="224">
        <v>193.09367299176995</v>
      </c>
      <c r="CY43" s="224">
        <v>-3.1553781809634529E-10</v>
      </c>
      <c r="CZ43" s="224">
        <v>-3.1553781809634529E-10</v>
      </c>
      <c r="DA43" s="224">
        <v>-3.1553781809634529E-10</v>
      </c>
      <c r="DB43" s="224">
        <v>-3.1553781809634529E-10</v>
      </c>
      <c r="DC43" s="224">
        <v>-3.1553781809634529E-10</v>
      </c>
      <c r="DD43" s="224">
        <v>-3.1553781809634529E-10</v>
      </c>
      <c r="DE43" s="224">
        <v>-3.1553781809634529E-10</v>
      </c>
      <c r="DF43" s="224">
        <v>-3.1553781809634529E-10</v>
      </c>
      <c r="DG43" s="224">
        <v>-3.1553781809634529E-10</v>
      </c>
      <c r="DH43" s="224">
        <v>-3.1553781809634529E-10</v>
      </c>
      <c r="DI43" s="224">
        <v>-3.1553781809634529E-10</v>
      </c>
      <c r="DJ43" s="224">
        <v>-3.1553781809634529E-10</v>
      </c>
      <c r="DK43" s="224">
        <v>-3.1553781809634529E-10</v>
      </c>
      <c r="DL43" s="224">
        <v>-3.1553781809634529E-10</v>
      </c>
      <c r="DM43" s="224">
        <v>-3.1553781809634529E-10</v>
      </c>
      <c r="DN43" s="224">
        <v>-3.1553781809634529E-10</v>
      </c>
      <c r="DO43" s="224">
        <v>-3.1553781809634529E-10</v>
      </c>
      <c r="DP43" s="224">
        <v>-3.1553781809634529E-10</v>
      </c>
      <c r="DQ43" s="224">
        <v>-3.1553781809634529E-10</v>
      </c>
      <c r="DR43" s="224">
        <v>-3.1553781809634529E-10</v>
      </c>
      <c r="DS43" s="224">
        <v>-3.1553781809634529E-10</v>
      </c>
      <c r="DT43" s="224">
        <v>-3.1553781809634529E-10</v>
      </c>
      <c r="DU43" s="224">
        <v>-3.1553781809634529E-10</v>
      </c>
      <c r="DV43" s="224">
        <v>-3.1553781809634529E-10</v>
      </c>
      <c r="DW43" s="224">
        <v>-3.1553781809634529E-10</v>
      </c>
      <c r="DX43" s="224">
        <v>-3.1553781809634529E-10</v>
      </c>
      <c r="DY43" s="224">
        <v>-3.1553781809634529E-10</v>
      </c>
      <c r="DZ43" s="224">
        <v>-3.1553781809634529E-10</v>
      </c>
      <c r="EA43" s="224">
        <v>-3.1553781809634529E-10</v>
      </c>
      <c r="EB43" s="224">
        <v>-3.1553781809634529E-10</v>
      </c>
      <c r="EC43" s="224">
        <v>-3.1553781809634529E-10</v>
      </c>
      <c r="ED43" s="224">
        <v>-3.1553781809634529E-10</v>
      </c>
      <c r="EE43" s="224">
        <v>-3.1553781809634529E-10</v>
      </c>
      <c r="EF43" s="224">
        <v>-3.1553781809634529E-10</v>
      </c>
      <c r="EG43" s="224">
        <v>-3.1553781809634529E-10</v>
      </c>
      <c r="EH43" s="224">
        <v>-3.1553781809634529E-10</v>
      </c>
      <c r="EI43" s="224">
        <v>-3.1553781809634529E-10</v>
      </c>
      <c r="EJ43" s="224">
        <v>-3.1553781809634529E-10</v>
      </c>
      <c r="EK43" s="224">
        <v>-3.1553781809634529E-10</v>
      </c>
      <c r="EL43" s="224">
        <v>-3.1553781809634529E-10</v>
      </c>
      <c r="EM43" s="224">
        <v>-3.1553781809634529E-10</v>
      </c>
      <c r="EN43" s="224">
        <v>-3.1553781809634529E-10</v>
      </c>
      <c r="EO43" s="224">
        <v>-3.1553781809634529E-10</v>
      </c>
      <c r="EP43" s="224">
        <v>-3.1553781809634529E-10</v>
      </c>
      <c r="EQ43" s="224">
        <v>-3.1553781809634529E-10</v>
      </c>
      <c r="ER43" s="224">
        <v>-3.1553781809634529E-10</v>
      </c>
      <c r="ES43" s="224">
        <v>-3.1553781809634529E-10</v>
      </c>
      <c r="ET43" s="224">
        <v>-3.1553781809634529E-10</v>
      </c>
      <c r="EU43" s="224">
        <v>-3.1553781809634529E-10</v>
      </c>
      <c r="EV43" s="224">
        <v>-3.1553781809634529E-10</v>
      </c>
      <c r="EW43" s="224">
        <v>-3.1553781809634529E-10</v>
      </c>
      <c r="EX43" s="224">
        <v>-3.1553781809634529E-10</v>
      </c>
      <c r="EY43" s="224">
        <v>-3.1553781809634529E-10</v>
      </c>
      <c r="EZ43" s="224">
        <v>-3.1553781809634529E-10</v>
      </c>
      <c r="FA43" s="224">
        <v>-3.1553781809634529E-10</v>
      </c>
      <c r="FB43" s="224">
        <v>-3.1553781809634529E-10</v>
      </c>
      <c r="FC43" s="224">
        <v>-3.1553781809634529E-10</v>
      </c>
      <c r="FD43" s="224">
        <v>-3.1553781809634529E-10</v>
      </c>
      <c r="FE43" s="224">
        <v>-3.1553781809634529E-10</v>
      </c>
      <c r="FF43" s="224">
        <v>-3.1553781809634529E-10</v>
      </c>
      <c r="FG43" s="224">
        <v>-3.1553781809634529E-10</v>
      </c>
    </row>
    <row r="44" spans="2:163" x14ac:dyDescent="0.25">
      <c r="B44" s="223" t="s">
        <v>443</v>
      </c>
      <c r="C44" s="223" t="s">
        <v>458</v>
      </c>
      <c r="D44" s="223" t="s">
        <v>459</v>
      </c>
      <c r="E44" s="223">
        <v>0</v>
      </c>
      <c r="F44" s="223" t="s">
        <v>460</v>
      </c>
      <c r="G44" s="223" t="s">
        <v>462</v>
      </c>
      <c r="H44" s="224">
        <v>14668.537856429233</v>
      </c>
      <c r="I44" s="224">
        <v>29092.600081917979</v>
      </c>
      <c r="J44" s="224">
        <v>43272.186676466234</v>
      </c>
      <c r="K44" s="224">
        <v>57207.297640074008</v>
      </c>
      <c r="L44" s="224">
        <v>70897.932972741299</v>
      </c>
      <c r="M44" s="224">
        <v>84344.092674468091</v>
      </c>
      <c r="N44" s="224">
        <v>97545.776745254407</v>
      </c>
      <c r="O44" s="224">
        <v>110502.98518510023</v>
      </c>
      <c r="P44" s="224">
        <v>123215.71799400556</v>
      </c>
      <c r="Q44" s="224">
        <v>135683.97517197041</v>
      </c>
      <c r="R44" s="224">
        <v>147907.75671899476</v>
      </c>
      <c r="S44" s="224">
        <v>159887.06263507862</v>
      </c>
      <c r="T44" s="224">
        <v>215627.50648950972</v>
      </c>
      <c r="U44" s="224">
        <v>270390.04782017885</v>
      </c>
      <c r="V44" s="224">
        <v>324174.68662708602</v>
      </c>
      <c r="W44" s="224">
        <v>376981.42291023128</v>
      </c>
      <c r="X44" s="224">
        <v>428810.25666961458</v>
      </c>
      <c r="Y44" s="224">
        <v>479661.18790523591</v>
      </c>
      <c r="Z44" s="224">
        <v>529534.21661709528</v>
      </c>
      <c r="AA44" s="224">
        <v>578429.34280519269</v>
      </c>
      <c r="AB44" s="224">
        <v>626346.56646952813</v>
      </c>
      <c r="AC44" s="224">
        <v>673285.88761010172</v>
      </c>
      <c r="AD44" s="224">
        <v>719247.30622691335</v>
      </c>
      <c r="AE44" s="224">
        <v>764230.82231996302</v>
      </c>
      <c r="AF44" s="224">
        <v>808236.43588925072</v>
      </c>
      <c r="AG44" s="224">
        <v>851264.14693477645</v>
      </c>
      <c r="AH44" s="224">
        <v>893313.95545654022</v>
      </c>
      <c r="AI44" s="224">
        <v>934385.86145454203</v>
      </c>
      <c r="AJ44" s="224">
        <v>974479.86492878199</v>
      </c>
      <c r="AK44" s="224">
        <v>1013595.96587926</v>
      </c>
      <c r="AL44" s="224">
        <v>1051734.1643059761</v>
      </c>
      <c r="AM44" s="224">
        <v>1088894.4602089301</v>
      </c>
      <c r="AN44" s="224">
        <v>1125076.8535881222</v>
      </c>
      <c r="AO44" s="224">
        <v>1160281.3444435524</v>
      </c>
      <c r="AP44" s="224">
        <v>1194507.9327752206</v>
      </c>
      <c r="AQ44" s="224">
        <v>1227756.6185831269</v>
      </c>
      <c r="AR44" s="224">
        <v>1201353.2504415542</v>
      </c>
      <c r="AS44" s="224">
        <v>1174949.8822999815</v>
      </c>
      <c r="AT44" s="224">
        <v>1148546.5141584089</v>
      </c>
      <c r="AU44" s="224">
        <v>1122143.1460168362</v>
      </c>
      <c r="AV44" s="224">
        <v>1095739.7778752635</v>
      </c>
      <c r="AW44" s="224">
        <v>1069336.4097336908</v>
      </c>
      <c r="AX44" s="224">
        <v>1042933.0415921182</v>
      </c>
      <c r="AY44" s="224">
        <v>1016529.6734505456</v>
      </c>
      <c r="AZ44" s="224">
        <v>990126.30530897307</v>
      </c>
      <c r="BA44" s="224">
        <v>963722.93716740049</v>
      </c>
      <c r="BB44" s="224">
        <v>937319.56902582792</v>
      </c>
      <c r="BC44" s="224">
        <v>910916.20088425535</v>
      </c>
      <c r="BD44" s="224">
        <v>884512.83274268277</v>
      </c>
      <c r="BE44" s="224">
        <v>858109.4646011102</v>
      </c>
      <c r="BF44" s="224">
        <v>831706.09645953763</v>
      </c>
      <c r="BG44" s="224">
        <v>805302.72831796505</v>
      </c>
      <c r="BH44" s="224">
        <v>778899.36017639248</v>
      </c>
      <c r="BI44" s="224">
        <v>752495.99203481991</v>
      </c>
      <c r="BJ44" s="224">
        <v>726092.62389324734</v>
      </c>
      <c r="BK44" s="224">
        <v>699689.25575167476</v>
      </c>
      <c r="BL44" s="224">
        <v>673285.88761010219</v>
      </c>
      <c r="BM44" s="224">
        <v>646882.51946852962</v>
      </c>
      <c r="BN44" s="224">
        <v>620479.15132695704</v>
      </c>
      <c r="BO44" s="224">
        <v>594075.78318538447</v>
      </c>
      <c r="BP44" s="224">
        <v>567672.4150438119</v>
      </c>
      <c r="BQ44" s="224">
        <v>541513.52253317973</v>
      </c>
      <c r="BR44" s="224">
        <v>515599.10565348808</v>
      </c>
      <c r="BS44" s="224">
        <v>489929.16440473689</v>
      </c>
      <c r="BT44" s="224">
        <v>464503.69878692622</v>
      </c>
      <c r="BU44" s="224">
        <v>439322.70880005602</v>
      </c>
      <c r="BV44" s="224">
        <v>414386.19444412633</v>
      </c>
      <c r="BW44" s="224">
        <v>389694.15571913711</v>
      </c>
      <c r="BX44" s="224">
        <v>365246.59262508841</v>
      </c>
      <c r="BY44" s="224">
        <v>341043.50516198017</v>
      </c>
      <c r="BZ44" s="224">
        <v>317084.89332981245</v>
      </c>
      <c r="CA44" s="224">
        <v>293370.75712858519</v>
      </c>
      <c r="CB44" s="224">
        <v>269901.09655829839</v>
      </c>
      <c r="CC44" s="224">
        <v>247409.33851177356</v>
      </c>
      <c r="CD44" s="224">
        <v>225895.48298901069</v>
      </c>
      <c r="CE44" s="224">
        <v>205359.52999000976</v>
      </c>
      <c r="CF44" s="224">
        <v>185801.47951477079</v>
      </c>
      <c r="CG44" s="224">
        <v>167221.33156329376</v>
      </c>
      <c r="CH44" s="224">
        <v>149619.08613557869</v>
      </c>
      <c r="CI44" s="224">
        <v>132994.74323162556</v>
      </c>
      <c r="CJ44" s="224">
        <v>117348.30285143438</v>
      </c>
      <c r="CK44" s="224">
        <v>102679.76499500514</v>
      </c>
      <c r="CL44" s="224">
        <v>88989.129662337858</v>
      </c>
      <c r="CM44" s="224">
        <v>76276.396853432525</v>
      </c>
      <c r="CN44" s="224">
        <v>64541.566568289141</v>
      </c>
      <c r="CO44" s="224">
        <v>53784.638806907707</v>
      </c>
      <c r="CP44" s="224">
        <v>44005.613569288216</v>
      </c>
      <c r="CQ44" s="224">
        <v>35204.490855430675</v>
      </c>
      <c r="CR44" s="224">
        <v>27381.270665335083</v>
      </c>
      <c r="CS44" s="224">
        <v>20535.952999001442</v>
      </c>
      <c r="CT44" s="224">
        <v>14668.537856429748</v>
      </c>
      <c r="CU44" s="224">
        <v>9779.0252376200042</v>
      </c>
      <c r="CV44" s="224">
        <v>5867.4151425722084</v>
      </c>
      <c r="CW44" s="224">
        <v>2933.7075712863616</v>
      </c>
      <c r="CX44" s="224">
        <v>977.90252376246394</v>
      </c>
      <c r="CY44" s="224">
        <v>5.1511506171664223E-10</v>
      </c>
      <c r="CZ44" s="224">
        <v>5.1511506171664223E-10</v>
      </c>
      <c r="DA44" s="224">
        <v>5.1511506171664223E-10</v>
      </c>
      <c r="DB44" s="224">
        <v>5.1511506171664223E-10</v>
      </c>
      <c r="DC44" s="224">
        <v>5.1511506171664223E-10</v>
      </c>
      <c r="DD44" s="224">
        <v>5.1511506171664223E-10</v>
      </c>
      <c r="DE44" s="224">
        <v>5.1511506171664223E-10</v>
      </c>
      <c r="DF44" s="224">
        <v>5.1511506171664223E-10</v>
      </c>
      <c r="DG44" s="224">
        <v>5.1511506171664223E-10</v>
      </c>
      <c r="DH44" s="224">
        <v>5.1511506171664223E-10</v>
      </c>
      <c r="DI44" s="224">
        <v>5.1511506171664223E-10</v>
      </c>
      <c r="DJ44" s="224">
        <v>5.1511506171664223E-10</v>
      </c>
      <c r="DK44" s="224">
        <v>5.1511506171664223E-10</v>
      </c>
      <c r="DL44" s="224">
        <v>5.1511506171664223E-10</v>
      </c>
      <c r="DM44" s="224">
        <v>5.1511506171664223E-10</v>
      </c>
      <c r="DN44" s="224">
        <v>5.1511506171664223E-10</v>
      </c>
      <c r="DO44" s="224">
        <v>5.1511506171664223E-10</v>
      </c>
      <c r="DP44" s="224">
        <v>5.1511506171664223E-10</v>
      </c>
      <c r="DQ44" s="224">
        <v>5.1511506171664223E-10</v>
      </c>
      <c r="DR44" s="224">
        <v>5.1511506171664223E-10</v>
      </c>
      <c r="DS44" s="224">
        <v>5.1511506171664223E-10</v>
      </c>
      <c r="DT44" s="224">
        <v>5.1511506171664223E-10</v>
      </c>
      <c r="DU44" s="224">
        <v>5.1511506171664223E-10</v>
      </c>
      <c r="DV44" s="224">
        <v>5.1511506171664223E-10</v>
      </c>
      <c r="DW44" s="224">
        <v>5.1511506171664223E-10</v>
      </c>
      <c r="DX44" s="224">
        <v>5.1511506171664223E-10</v>
      </c>
      <c r="DY44" s="224">
        <v>5.1511506171664223E-10</v>
      </c>
      <c r="DZ44" s="224">
        <v>5.1511506171664223E-10</v>
      </c>
      <c r="EA44" s="224">
        <v>5.1511506171664223E-10</v>
      </c>
      <c r="EB44" s="224">
        <v>5.1511506171664223E-10</v>
      </c>
      <c r="EC44" s="224">
        <v>5.1511506171664223E-10</v>
      </c>
      <c r="ED44" s="224">
        <v>5.1511506171664223E-10</v>
      </c>
      <c r="EE44" s="224">
        <v>5.1511506171664223E-10</v>
      </c>
      <c r="EF44" s="224">
        <v>5.1511506171664223E-10</v>
      </c>
      <c r="EG44" s="224">
        <v>5.1511506171664223E-10</v>
      </c>
      <c r="EH44" s="224">
        <v>5.1511506171664223E-10</v>
      </c>
      <c r="EI44" s="224">
        <v>5.1511506171664223E-10</v>
      </c>
      <c r="EJ44" s="224">
        <v>5.1511506171664223E-10</v>
      </c>
      <c r="EK44" s="224">
        <v>5.1511506171664223E-10</v>
      </c>
      <c r="EL44" s="224">
        <v>5.1511506171664223E-10</v>
      </c>
      <c r="EM44" s="224">
        <v>5.1511506171664223E-10</v>
      </c>
      <c r="EN44" s="224">
        <v>5.1511506171664223E-10</v>
      </c>
      <c r="EO44" s="224">
        <v>5.1511506171664223E-10</v>
      </c>
      <c r="EP44" s="224">
        <v>5.1511506171664223E-10</v>
      </c>
      <c r="EQ44" s="224">
        <v>5.1511506171664223E-10</v>
      </c>
      <c r="ER44" s="224">
        <v>5.1511506171664223E-10</v>
      </c>
      <c r="ES44" s="224">
        <v>5.1511506171664223E-10</v>
      </c>
      <c r="ET44" s="224">
        <v>5.1511506171664223E-10</v>
      </c>
      <c r="EU44" s="224">
        <v>5.1511506171664223E-10</v>
      </c>
      <c r="EV44" s="224">
        <v>5.1511506171664223E-10</v>
      </c>
      <c r="EW44" s="224">
        <v>5.1511506171664223E-10</v>
      </c>
      <c r="EX44" s="224">
        <v>5.1511506171664223E-10</v>
      </c>
      <c r="EY44" s="224">
        <v>5.1511506171664223E-10</v>
      </c>
      <c r="EZ44" s="224">
        <v>5.1511506171664223E-10</v>
      </c>
      <c r="FA44" s="224">
        <v>5.1511506171664223E-10</v>
      </c>
      <c r="FB44" s="224">
        <v>5.1511506171664223E-10</v>
      </c>
      <c r="FC44" s="224">
        <v>5.1511506171664223E-10</v>
      </c>
      <c r="FD44" s="224">
        <v>5.1511506171664223E-10</v>
      </c>
      <c r="FE44" s="224">
        <v>5.1511506171664223E-10</v>
      </c>
      <c r="FF44" s="224">
        <v>5.1511506171664223E-10</v>
      </c>
      <c r="FG44" s="224">
        <v>5.1511506171664223E-10</v>
      </c>
    </row>
    <row r="45" spans="2:163" x14ac:dyDescent="0.25">
      <c r="B45" s="223" t="s">
        <v>443</v>
      </c>
      <c r="C45" s="223" t="s">
        <v>463</v>
      </c>
      <c r="D45" s="223" t="s">
        <v>464</v>
      </c>
      <c r="E45" s="223">
        <v>0</v>
      </c>
      <c r="F45" s="223" t="s">
        <v>465</v>
      </c>
      <c r="G45" s="223" t="s">
        <v>466</v>
      </c>
      <c r="H45" s="224">
        <v>1557.7128333333333</v>
      </c>
      <c r="I45" s="224">
        <v>3089.4637861111109</v>
      </c>
      <c r="J45" s="224">
        <v>4595.2528583333333</v>
      </c>
      <c r="K45" s="224">
        <v>6075.0800499999996</v>
      </c>
      <c r="L45" s="224">
        <v>7528.9453611111103</v>
      </c>
      <c r="M45" s="224">
        <v>8956.8487916666672</v>
      </c>
      <c r="N45" s="224">
        <v>10358.790341666667</v>
      </c>
      <c r="O45" s="224">
        <v>11734.770011111112</v>
      </c>
      <c r="P45" s="224">
        <v>13084.7878</v>
      </c>
      <c r="Q45" s="224">
        <v>14408.843708333334</v>
      </c>
      <c r="R45" s="224">
        <v>15706.937736111111</v>
      </c>
      <c r="S45" s="224">
        <v>16979.069883333334</v>
      </c>
      <c r="T45" s="224">
        <v>22898.378649999999</v>
      </c>
      <c r="U45" s="224">
        <v>28713.839894444442</v>
      </c>
      <c r="V45" s="224">
        <v>34425.453616666666</v>
      </c>
      <c r="W45" s="224">
        <v>40033.219816666664</v>
      </c>
      <c r="X45" s="224">
        <v>45537.138494444443</v>
      </c>
      <c r="Y45" s="224">
        <v>50937.209649999997</v>
      </c>
      <c r="Z45" s="224">
        <v>56233.433283333332</v>
      </c>
      <c r="AA45" s="224">
        <v>61425.809394444441</v>
      </c>
      <c r="AB45" s="224">
        <v>66514.337983333331</v>
      </c>
      <c r="AC45" s="224">
        <v>71499.019050000003</v>
      </c>
      <c r="AD45" s="224">
        <v>76379.852594444455</v>
      </c>
      <c r="AE45" s="224">
        <v>81156.83861666669</v>
      </c>
      <c r="AF45" s="224">
        <v>85829.977116666691</v>
      </c>
      <c r="AG45" s="224">
        <v>90399.268094444473</v>
      </c>
      <c r="AH45" s="224">
        <v>94864.711550000036</v>
      </c>
      <c r="AI45" s="224">
        <v>99226.307483333381</v>
      </c>
      <c r="AJ45" s="224">
        <v>103484.05589444449</v>
      </c>
      <c r="AK45" s="224">
        <v>107637.95678333339</v>
      </c>
      <c r="AL45" s="224">
        <v>111688.01015000006</v>
      </c>
      <c r="AM45" s="224">
        <v>115634.21599444452</v>
      </c>
      <c r="AN45" s="224">
        <v>119476.57431666674</v>
      </c>
      <c r="AO45" s="224">
        <v>123215.08511666674</v>
      </c>
      <c r="AP45" s="224">
        <v>126849.74839444453</v>
      </c>
      <c r="AQ45" s="224">
        <v>130380.56415000008</v>
      </c>
      <c r="AR45" s="224">
        <v>127576.68105000007</v>
      </c>
      <c r="AS45" s="224">
        <v>124772.79795000007</v>
      </c>
      <c r="AT45" s="224">
        <v>121968.91485000006</v>
      </c>
      <c r="AU45" s="224">
        <v>119165.03175000005</v>
      </c>
      <c r="AV45" s="224">
        <v>116361.14865000005</v>
      </c>
      <c r="AW45" s="224">
        <v>113557.26555000004</v>
      </c>
      <c r="AX45" s="224">
        <v>110753.38245000003</v>
      </c>
      <c r="AY45" s="224">
        <v>107949.49935000003</v>
      </c>
      <c r="AZ45" s="224">
        <v>105145.61625000002</v>
      </c>
      <c r="BA45" s="224">
        <v>102341.73315000001</v>
      </c>
      <c r="BB45" s="224">
        <v>99537.850050000008</v>
      </c>
      <c r="BC45" s="224">
        <v>96733.966950000002</v>
      </c>
      <c r="BD45" s="224">
        <v>93930.083849999995</v>
      </c>
      <c r="BE45" s="224">
        <v>91126.200749999989</v>
      </c>
      <c r="BF45" s="224">
        <v>88322.317649999983</v>
      </c>
      <c r="BG45" s="224">
        <v>85518.434549999976</v>
      </c>
      <c r="BH45" s="224">
        <v>82714.55144999997</v>
      </c>
      <c r="BI45" s="224">
        <v>79910.668349999964</v>
      </c>
      <c r="BJ45" s="224">
        <v>77106.785249999957</v>
      </c>
      <c r="BK45" s="224">
        <v>74302.902149999951</v>
      </c>
      <c r="BL45" s="224">
        <v>71499.019049999944</v>
      </c>
      <c r="BM45" s="224">
        <v>68695.135949999938</v>
      </c>
      <c r="BN45" s="224">
        <v>65891.252849999932</v>
      </c>
      <c r="BO45" s="224">
        <v>63087.369749999933</v>
      </c>
      <c r="BP45" s="224">
        <v>60283.486649999933</v>
      </c>
      <c r="BQ45" s="224">
        <v>57505.565430555485</v>
      </c>
      <c r="BR45" s="224">
        <v>54753.606091666596</v>
      </c>
      <c r="BS45" s="224">
        <v>52027.608633333264</v>
      </c>
      <c r="BT45" s="224">
        <v>49327.573055555484</v>
      </c>
      <c r="BU45" s="224">
        <v>46653.499358333262</v>
      </c>
      <c r="BV45" s="224">
        <v>44005.387541666598</v>
      </c>
      <c r="BW45" s="224">
        <v>41383.237605555485</v>
      </c>
      <c r="BX45" s="224">
        <v>38787.049549999931</v>
      </c>
      <c r="BY45" s="224">
        <v>36216.823374999927</v>
      </c>
      <c r="BZ45" s="224">
        <v>33672.559080555482</v>
      </c>
      <c r="CA45" s="224">
        <v>31154.256666666592</v>
      </c>
      <c r="CB45" s="224">
        <v>28661.916133333259</v>
      </c>
      <c r="CC45" s="224">
        <v>26273.42312222215</v>
      </c>
      <c r="CD45" s="224">
        <v>23988.777633333259</v>
      </c>
      <c r="CE45" s="224">
        <v>21807.97966666659</v>
      </c>
      <c r="CF45" s="224">
        <v>19731.029222222143</v>
      </c>
      <c r="CG45" s="224">
        <v>17757.926299999919</v>
      </c>
      <c r="CH45" s="224">
        <v>15888.670899999919</v>
      </c>
      <c r="CI45" s="224">
        <v>14123.263022222141</v>
      </c>
      <c r="CJ45" s="224">
        <v>12461.702666666586</v>
      </c>
      <c r="CK45" s="224">
        <v>10903.989833333253</v>
      </c>
      <c r="CL45" s="224">
        <v>9450.1245222221423</v>
      </c>
      <c r="CM45" s="224">
        <v>8100.106733333253</v>
      </c>
      <c r="CN45" s="224">
        <v>6853.9364666665861</v>
      </c>
      <c r="CO45" s="224">
        <v>5711.6137222221414</v>
      </c>
      <c r="CP45" s="224">
        <v>4673.1384999999191</v>
      </c>
      <c r="CQ45" s="224">
        <v>3738.5107999999191</v>
      </c>
      <c r="CR45" s="224">
        <v>2907.7306222221414</v>
      </c>
      <c r="CS45" s="224">
        <v>2180.797966666586</v>
      </c>
      <c r="CT45" s="224">
        <v>1557.7128333332525</v>
      </c>
      <c r="CU45" s="224">
        <v>1038.4752222221414</v>
      </c>
      <c r="CV45" s="224">
        <v>623.08513333325254</v>
      </c>
      <c r="CW45" s="224">
        <v>311.54256666658586</v>
      </c>
      <c r="CX45" s="224">
        <v>103.84752222214141</v>
      </c>
      <c r="CY45" s="224">
        <v>-8.0817130765353795E-11</v>
      </c>
      <c r="CZ45" s="224">
        <v>-8.0817130765353795E-11</v>
      </c>
      <c r="DA45" s="224">
        <v>-8.0817130765353795E-11</v>
      </c>
      <c r="DB45" s="224">
        <v>-8.0817130765353795E-11</v>
      </c>
      <c r="DC45" s="224">
        <v>-8.0817130765353795E-11</v>
      </c>
      <c r="DD45" s="224">
        <v>-8.0817130765353795E-11</v>
      </c>
      <c r="DE45" s="224">
        <v>-8.0817130765353795E-11</v>
      </c>
      <c r="DF45" s="224">
        <v>-8.0817130765353795E-11</v>
      </c>
      <c r="DG45" s="224">
        <v>-8.0817130765353795E-11</v>
      </c>
      <c r="DH45" s="224">
        <v>-8.0817130765353795E-11</v>
      </c>
      <c r="DI45" s="224">
        <v>-8.0817130765353795E-11</v>
      </c>
      <c r="DJ45" s="224">
        <v>-8.0817130765353795E-11</v>
      </c>
      <c r="DK45" s="224">
        <v>-8.0817130765353795E-11</v>
      </c>
      <c r="DL45" s="224">
        <v>-8.0817130765353795E-11</v>
      </c>
      <c r="DM45" s="224">
        <v>-8.0817130765353795E-11</v>
      </c>
      <c r="DN45" s="224">
        <v>-8.0817130765353795E-11</v>
      </c>
      <c r="DO45" s="224">
        <v>-8.0817130765353795E-11</v>
      </c>
      <c r="DP45" s="224">
        <v>-8.0817130765353795E-11</v>
      </c>
      <c r="DQ45" s="224">
        <v>-8.0817130765353795E-11</v>
      </c>
      <c r="DR45" s="224">
        <v>-8.0817130765353795E-11</v>
      </c>
      <c r="DS45" s="224">
        <v>-8.0817130765353795E-11</v>
      </c>
      <c r="DT45" s="224">
        <v>-8.0817130765353795E-11</v>
      </c>
      <c r="DU45" s="224">
        <v>-8.0817130765353795E-11</v>
      </c>
      <c r="DV45" s="224">
        <v>-8.0817130765353795E-11</v>
      </c>
      <c r="DW45" s="224">
        <v>-8.0817130765353795E-11</v>
      </c>
      <c r="DX45" s="224">
        <v>-8.0817130765353795E-11</v>
      </c>
      <c r="DY45" s="224">
        <v>-8.0817130765353795E-11</v>
      </c>
      <c r="DZ45" s="224">
        <v>-8.0817130765353795E-11</v>
      </c>
      <c r="EA45" s="224">
        <v>-8.0817130765353795E-11</v>
      </c>
      <c r="EB45" s="224">
        <v>-8.0817130765353795E-11</v>
      </c>
      <c r="EC45" s="224">
        <v>-8.0817130765353795E-11</v>
      </c>
      <c r="ED45" s="224">
        <v>-8.0817130765353795E-11</v>
      </c>
      <c r="EE45" s="224">
        <v>-8.0817130765353795E-11</v>
      </c>
      <c r="EF45" s="224">
        <v>-8.0817130765353795E-11</v>
      </c>
      <c r="EG45" s="224">
        <v>-8.0817130765353795E-11</v>
      </c>
      <c r="EH45" s="224">
        <v>-8.0817130765353795E-11</v>
      </c>
      <c r="EI45" s="224">
        <v>-8.0817130765353795E-11</v>
      </c>
      <c r="EJ45" s="224">
        <v>-8.0817130765353795E-11</v>
      </c>
      <c r="EK45" s="224">
        <v>-8.0817130765353795E-11</v>
      </c>
      <c r="EL45" s="224">
        <v>-8.0817130765353795E-11</v>
      </c>
      <c r="EM45" s="224">
        <v>-8.0817130765353795E-11</v>
      </c>
      <c r="EN45" s="224">
        <v>-8.0817130765353795E-11</v>
      </c>
      <c r="EO45" s="224">
        <v>-8.0817130765353795E-11</v>
      </c>
      <c r="EP45" s="224">
        <v>-8.0817130765353795E-11</v>
      </c>
      <c r="EQ45" s="224">
        <v>-8.0817130765353795E-11</v>
      </c>
      <c r="ER45" s="224">
        <v>-8.0817130765353795E-11</v>
      </c>
      <c r="ES45" s="224">
        <v>-8.0817130765353795E-11</v>
      </c>
      <c r="ET45" s="224">
        <v>-8.0817130765353795E-11</v>
      </c>
      <c r="EU45" s="224">
        <v>-8.0817130765353795E-11</v>
      </c>
      <c r="EV45" s="224">
        <v>-8.0817130765353795E-11</v>
      </c>
      <c r="EW45" s="224">
        <v>-8.0817130765353795E-11</v>
      </c>
      <c r="EX45" s="224">
        <v>-8.0817130765353795E-11</v>
      </c>
      <c r="EY45" s="224">
        <v>-8.0817130765353795E-11</v>
      </c>
      <c r="EZ45" s="224">
        <v>-8.0817130765353795E-11</v>
      </c>
      <c r="FA45" s="224">
        <v>-8.0817130765353795E-11</v>
      </c>
      <c r="FB45" s="224">
        <v>-8.0817130765353795E-11</v>
      </c>
      <c r="FC45" s="224">
        <v>-8.0817130765353795E-11</v>
      </c>
      <c r="FD45" s="224">
        <v>-8.0817130765353795E-11</v>
      </c>
      <c r="FE45" s="224">
        <v>-8.0817130765353795E-11</v>
      </c>
      <c r="FF45" s="224">
        <v>-8.0817130765353795E-11</v>
      </c>
      <c r="FG45" s="224">
        <v>-8.0817130765353795E-11</v>
      </c>
    </row>
    <row r="46" spans="2:163" x14ac:dyDescent="0.25">
      <c r="B46" s="223" t="s">
        <v>443</v>
      </c>
      <c r="C46" s="223" t="s">
        <v>463</v>
      </c>
      <c r="D46" s="223" t="s">
        <v>464</v>
      </c>
      <c r="E46" s="223">
        <v>0</v>
      </c>
      <c r="F46" s="223" t="s">
        <v>465</v>
      </c>
      <c r="G46" s="223" t="s">
        <v>467</v>
      </c>
      <c r="H46" s="224">
        <v>1557.7128333333333</v>
      </c>
      <c r="I46" s="224">
        <v>3089.4637861111109</v>
      </c>
      <c r="J46" s="224">
        <v>4595.2528583333333</v>
      </c>
      <c r="K46" s="224">
        <v>6075.0800499999996</v>
      </c>
      <c r="L46" s="224">
        <v>7528.9453611111103</v>
      </c>
      <c r="M46" s="224">
        <v>8956.8487916666672</v>
      </c>
      <c r="N46" s="224">
        <v>10358.790341666667</v>
      </c>
      <c r="O46" s="224">
        <v>11734.770011111112</v>
      </c>
      <c r="P46" s="224">
        <v>13084.7878</v>
      </c>
      <c r="Q46" s="224">
        <v>14408.843708333334</v>
      </c>
      <c r="R46" s="224">
        <v>15706.937736111111</v>
      </c>
      <c r="S46" s="224">
        <v>16979.069883333334</v>
      </c>
      <c r="T46" s="224">
        <v>22898.378649999999</v>
      </c>
      <c r="U46" s="224">
        <v>28713.839894444442</v>
      </c>
      <c r="V46" s="224">
        <v>34425.453616666666</v>
      </c>
      <c r="W46" s="224">
        <v>40033.219816666664</v>
      </c>
      <c r="X46" s="224">
        <v>45537.138494444443</v>
      </c>
      <c r="Y46" s="224">
        <v>50937.209649999997</v>
      </c>
      <c r="Z46" s="224">
        <v>56233.433283333332</v>
      </c>
      <c r="AA46" s="224">
        <v>61425.809394444441</v>
      </c>
      <c r="AB46" s="224">
        <v>66514.337983333331</v>
      </c>
      <c r="AC46" s="224">
        <v>71499.019050000003</v>
      </c>
      <c r="AD46" s="224">
        <v>76379.852594444455</v>
      </c>
      <c r="AE46" s="224">
        <v>81156.83861666669</v>
      </c>
      <c r="AF46" s="224">
        <v>85863.656283333359</v>
      </c>
      <c r="AG46" s="224">
        <v>90466.065108333365</v>
      </c>
      <c r="AH46" s="224">
        <v>94964.065091666693</v>
      </c>
      <c r="AI46" s="224">
        <v>99357.656233333371</v>
      </c>
      <c r="AJ46" s="224">
        <v>103646.83853333337</v>
      </c>
      <c r="AK46" s="224">
        <v>107831.61199166671</v>
      </c>
      <c r="AL46" s="224">
        <v>111911.97660833338</v>
      </c>
      <c r="AM46" s="224">
        <v>115887.93238333338</v>
      </c>
      <c r="AN46" s="224">
        <v>119759.47931666672</v>
      </c>
      <c r="AO46" s="224">
        <v>123526.61740833339</v>
      </c>
      <c r="AP46" s="224">
        <v>127189.34665833339</v>
      </c>
      <c r="AQ46" s="224">
        <v>130747.66706666673</v>
      </c>
      <c r="AR46" s="224">
        <v>127937.0481333334</v>
      </c>
      <c r="AS46" s="224">
        <v>125126.42920000007</v>
      </c>
      <c r="AT46" s="224">
        <v>122315.81026666674</v>
      </c>
      <c r="AU46" s="224">
        <v>119505.19133333341</v>
      </c>
      <c r="AV46" s="224">
        <v>116694.57240000008</v>
      </c>
      <c r="AW46" s="224">
        <v>113883.95346666675</v>
      </c>
      <c r="AX46" s="224">
        <v>111073.33453333341</v>
      </c>
      <c r="AY46" s="224">
        <v>108262.71560000008</v>
      </c>
      <c r="AZ46" s="224">
        <v>105452.09666666675</v>
      </c>
      <c r="BA46" s="224">
        <v>102641.47773333342</v>
      </c>
      <c r="BB46" s="224">
        <v>99830.858800000089</v>
      </c>
      <c r="BC46" s="224">
        <v>97020.239866666758</v>
      </c>
      <c r="BD46" s="224">
        <v>94209.620933333426</v>
      </c>
      <c r="BE46" s="224">
        <v>91399.002000000095</v>
      </c>
      <c r="BF46" s="224">
        <v>88588.383066666764</v>
      </c>
      <c r="BG46" s="224">
        <v>85777.764133333432</v>
      </c>
      <c r="BH46" s="224">
        <v>82967.145200000101</v>
      </c>
      <c r="BI46" s="224">
        <v>80156.52626666677</v>
      </c>
      <c r="BJ46" s="224">
        <v>77345.907333333438</v>
      </c>
      <c r="BK46" s="224">
        <v>74535.288400000107</v>
      </c>
      <c r="BL46" s="224">
        <v>71724.669466666775</v>
      </c>
      <c r="BM46" s="224">
        <v>68914.050533333444</v>
      </c>
      <c r="BN46" s="224">
        <v>66103.431600000113</v>
      </c>
      <c r="BO46" s="224">
        <v>63292.812666666781</v>
      </c>
      <c r="BP46" s="224">
        <v>60482.19373333345</v>
      </c>
      <c r="BQ46" s="224">
        <v>57697.53668055567</v>
      </c>
      <c r="BR46" s="224">
        <v>54938.841508333448</v>
      </c>
      <c r="BS46" s="224">
        <v>52206.108216666784</v>
      </c>
      <c r="BT46" s="224">
        <v>49499.336805555671</v>
      </c>
      <c r="BU46" s="224">
        <v>46818.527275000117</v>
      </c>
      <c r="BV46" s="224">
        <v>44163.679625000121</v>
      </c>
      <c r="BW46" s="224">
        <v>41534.793855555676</v>
      </c>
      <c r="BX46" s="224">
        <v>38931.869966666789</v>
      </c>
      <c r="BY46" s="224">
        <v>36354.907958333453</v>
      </c>
      <c r="BZ46" s="224">
        <v>33803.907830555676</v>
      </c>
      <c r="CA46" s="224">
        <v>31278.869583333457</v>
      </c>
      <c r="CB46" s="224">
        <v>28779.793216666792</v>
      </c>
      <c r="CC46" s="224">
        <v>26384.56437222235</v>
      </c>
      <c r="CD46" s="224">
        <v>24093.183050000131</v>
      </c>
      <c r="CE46" s="224">
        <v>21905.649250000133</v>
      </c>
      <c r="CF46" s="224">
        <v>19821.962972222354</v>
      </c>
      <c r="CG46" s="224">
        <v>17842.124216666798</v>
      </c>
      <c r="CH46" s="224">
        <v>15966.132983333466</v>
      </c>
      <c r="CI46" s="224">
        <v>14193.989272222356</v>
      </c>
      <c r="CJ46" s="224">
        <v>12525.693083333466</v>
      </c>
      <c r="CK46" s="224">
        <v>10961.244416666799</v>
      </c>
      <c r="CL46" s="224">
        <v>9500.6432722223544</v>
      </c>
      <c r="CM46" s="224">
        <v>8143.889650000132</v>
      </c>
      <c r="CN46" s="224">
        <v>6890.9835500001318</v>
      </c>
      <c r="CO46" s="224">
        <v>5742.486291666798</v>
      </c>
      <c r="CP46" s="224">
        <v>4698.3978750001315</v>
      </c>
      <c r="CQ46" s="224">
        <v>3758.7183000001314</v>
      </c>
      <c r="CR46" s="224">
        <v>2923.4475666667981</v>
      </c>
      <c r="CS46" s="224">
        <v>2192.5856750001312</v>
      </c>
      <c r="CT46" s="224">
        <v>1566.1326250001312</v>
      </c>
      <c r="CU46" s="224">
        <v>1044.0884166667979</v>
      </c>
      <c r="CV46" s="224">
        <v>626.45305000013127</v>
      </c>
      <c r="CW46" s="224">
        <v>313.22652500013123</v>
      </c>
      <c r="CX46" s="224">
        <v>104.40884166679788</v>
      </c>
      <c r="CY46" s="224">
        <v>1.312088215854601E-10</v>
      </c>
      <c r="CZ46" s="224">
        <v>1.312088215854601E-10</v>
      </c>
      <c r="DA46" s="224">
        <v>1.312088215854601E-10</v>
      </c>
      <c r="DB46" s="224">
        <v>1.312088215854601E-10</v>
      </c>
      <c r="DC46" s="224">
        <v>1.312088215854601E-10</v>
      </c>
      <c r="DD46" s="224">
        <v>1.312088215854601E-10</v>
      </c>
      <c r="DE46" s="224">
        <v>1.312088215854601E-10</v>
      </c>
      <c r="DF46" s="224">
        <v>1.312088215854601E-10</v>
      </c>
      <c r="DG46" s="224">
        <v>1.312088215854601E-10</v>
      </c>
      <c r="DH46" s="224">
        <v>1.312088215854601E-10</v>
      </c>
      <c r="DI46" s="224">
        <v>1.312088215854601E-10</v>
      </c>
      <c r="DJ46" s="224">
        <v>1.312088215854601E-10</v>
      </c>
      <c r="DK46" s="224">
        <v>1.312088215854601E-10</v>
      </c>
      <c r="DL46" s="224">
        <v>1.312088215854601E-10</v>
      </c>
      <c r="DM46" s="224">
        <v>1.312088215854601E-10</v>
      </c>
      <c r="DN46" s="224">
        <v>1.312088215854601E-10</v>
      </c>
      <c r="DO46" s="224">
        <v>1.312088215854601E-10</v>
      </c>
      <c r="DP46" s="224">
        <v>1.312088215854601E-10</v>
      </c>
      <c r="DQ46" s="224">
        <v>1.312088215854601E-10</v>
      </c>
      <c r="DR46" s="224">
        <v>1.312088215854601E-10</v>
      </c>
      <c r="DS46" s="224">
        <v>1.312088215854601E-10</v>
      </c>
      <c r="DT46" s="224">
        <v>1.312088215854601E-10</v>
      </c>
      <c r="DU46" s="224">
        <v>1.312088215854601E-10</v>
      </c>
      <c r="DV46" s="224">
        <v>1.312088215854601E-10</v>
      </c>
      <c r="DW46" s="224">
        <v>1.312088215854601E-10</v>
      </c>
      <c r="DX46" s="224">
        <v>1.312088215854601E-10</v>
      </c>
      <c r="DY46" s="224">
        <v>1.312088215854601E-10</v>
      </c>
      <c r="DZ46" s="224">
        <v>1.312088215854601E-10</v>
      </c>
      <c r="EA46" s="224">
        <v>1.312088215854601E-10</v>
      </c>
      <c r="EB46" s="224">
        <v>1.312088215854601E-10</v>
      </c>
      <c r="EC46" s="224">
        <v>1.312088215854601E-10</v>
      </c>
      <c r="ED46" s="224">
        <v>1.312088215854601E-10</v>
      </c>
      <c r="EE46" s="224">
        <v>1.312088215854601E-10</v>
      </c>
      <c r="EF46" s="224">
        <v>1.312088215854601E-10</v>
      </c>
      <c r="EG46" s="224">
        <v>1.312088215854601E-10</v>
      </c>
      <c r="EH46" s="224">
        <v>1.312088215854601E-10</v>
      </c>
      <c r="EI46" s="224">
        <v>1.312088215854601E-10</v>
      </c>
      <c r="EJ46" s="224">
        <v>1.312088215854601E-10</v>
      </c>
      <c r="EK46" s="224">
        <v>1.312088215854601E-10</v>
      </c>
      <c r="EL46" s="224">
        <v>1.312088215854601E-10</v>
      </c>
      <c r="EM46" s="224">
        <v>1.312088215854601E-10</v>
      </c>
      <c r="EN46" s="224">
        <v>1.312088215854601E-10</v>
      </c>
      <c r="EO46" s="224">
        <v>1.312088215854601E-10</v>
      </c>
      <c r="EP46" s="224">
        <v>1.312088215854601E-10</v>
      </c>
      <c r="EQ46" s="224">
        <v>1.312088215854601E-10</v>
      </c>
      <c r="ER46" s="224">
        <v>1.312088215854601E-10</v>
      </c>
      <c r="ES46" s="224">
        <v>1.312088215854601E-10</v>
      </c>
      <c r="ET46" s="224">
        <v>1.312088215854601E-10</v>
      </c>
      <c r="EU46" s="224">
        <v>1.312088215854601E-10</v>
      </c>
      <c r="EV46" s="224">
        <v>1.312088215854601E-10</v>
      </c>
      <c r="EW46" s="224">
        <v>1.312088215854601E-10</v>
      </c>
      <c r="EX46" s="224">
        <v>1.312088215854601E-10</v>
      </c>
      <c r="EY46" s="224">
        <v>1.312088215854601E-10</v>
      </c>
      <c r="EZ46" s="224">
        <v>1.312088215854601E-10</v>
      </c>
      <c r="FA46" s="224">
        <v>1.312088215854601E-10</v>
      </c>
      <c r="FB46" s="224">
        <v>1.312088215854601E-10</v>
      </c>
      <c r="FC46" s="224">
        <v>1.312088215854601E-10</v>
      </c>
      <c r="FD46" s="224">
        <v>1.312088215854601E-10</v>
      </c>
      <c r="FE46" s="224">
        <v>1.312088215854601E-10</v>
      </c>
      <c r="FF46" s="224">
        <v>1.312088215854601E-10</v>
      </c>
      <c r="FG46" s="224">
        <v>1.312088215854601E-10</v>
      </c>
    </row>
    <row r="47" spans="2:163" x14ac:dyDescent="0.25">
      <c r="B47" s="223" t="s">
        <v>443</v>
      </c>
      <c r="C47" s="223" t="s">
        <v>468</v>
      </c>
      <c r="D47" s="223" t="s">
        <v>469</v>
      </c>
      <c r="E47" s="223">
        <v>0</v>
      </c>
      <c r="F47" s="223" t="s">
        <v>470</v>
      </c>
      <c r="G47" s="223" t="s">
        <v>471</v>
      </c>
      <c r="H47" s="224">
        <v>695.48409513105128</v>
      </c>
      <c r="I47" s="224">
        <v>1379.376788676585</v>
      </c>
      <c r="J47" s="224">
        <v>2051.678080636601</v>
      </c>
      <c r="K47" s="224">
        <v>2712.3879710110996</v>
      </c>
      <c r="L47" s="224">
        <v>3361.5064598000808</v>
      </c>
      <c r="M47" s="224">
        <v>3999.0335470035443</v>
      </c>
      <c r="N47" s="224">
        <v>4624.9692326214908</v>
      </c>
      <c r="O47" s="224">
        <v>5239.3135166539196</v>
      </c>
      <c r="P47" s="224">
        <v>5842.0663991008314</v>
      </c>
      <c r="Q47" s="224">
        <v>6433.2278799622254</v>
      </c>
      <c r="R47" s="224">
        <v>7012.7979592381016</v>
      </c>
      <c r="S47" s="224">
        <v>7580.7766369284609</v>
      </c>
      <c r="T47" s="224">
        <v>9984.4879127835338</v>
      </c>
      <c r="U47" s="224">
        <v>12345.819053723917</v>
      </c>
      <c r="V47" s="224">
        <v>14664.770059749613</v>
      </c>
      <c r="W47" s="224">
        <v>16941.340930860624</v>
      </c>
      <c r="X47" s="224">
        <v>19175.531667056945</v>
      </c>
      <c r="Y47" s="224">
        <v>21367.342268338576</v>
      </c>
      <c r="Z47" s="224">
        <v>23516.772734705519</v>
      </c>
      <c r="AA47" s="224">
        <v>25623.823066157773</v>
      </c>
      <c r="AB47" s="224">
        <v>27688.493262695341</v>
      </c>
      <c r="AC47" s="224">
        <v>29710.783324318221</v>
      </c>
      <c r="AD47" s="224">
        <v>31690.693251026412</v>
      </c>
      <c r="AE47" s="224">
        <v>33628.223042819918</v>
      </c>
      <c r="AF47" s="224">
        <v>35523.372699698739</v>
      </c>
      <c r="AG47" s="224">
        <v>37376.142221662871</v>
      </c>
      <c r="AH47" s="224">
        <v>39186.531608712314</v>
      </c>
      <c r="AI47" s="224">
        <v>40954.540860847068</v>
      </c>
      <c r="AJ47" s="224">
        <v>42680.169978067133</v>
      </c>
      <c r="AK47" s="224">
        <v>44363.41896037251</v>
      </c>
      <c r="AL47" s="224">
        <v>46004.287807763198</v>
      </c>
      <c r="AM47" s="224">
        <v>47602.776520239197</v>
      </c>
      <c r="AN47" s="224">
        <v>49158.885097800514</v>
      </c>
      <c r="AO47" s="224">
        <v>50672.613540447142</v>
      </c>
      <c r="AP47" s="224">
        <v>52143.961848179082</v>
      </c>
      <c r="AQ47" s="224">
        <v>53572.930020996333</v>
      </c>
      <c r="AR47" s="224">
        <v>52416.709964017609</v>
      </c>
      <c r="AS47" s="224">
        <v>51260.489907038886</v>
      </c>
      <c r="AT47" s="224">
        <v>50104.269850060162</v>
      </c>
      <c r="AU47" s="224">
        <v>48948.049793081438</v>
      </c>
      <c r="AV47" s="224">
        <v>47791.829736102714</v>
      </c>
      <c r="AW47" s="224">
        <v>46635.609679123991</v>
      </c>
      <c r="AX47" s="224">
        <v>45479.389622145267</v>
      </c>
      <c r="AY47" s="224">
        <v>44323.169565166543</v>
      </c>
      <c r="AZ47" s="224">
        <v>43166.949508187819</v>
      </c>
      <c r="BA47" s="224">
        <v>42010.729451209096</v>
      </c>
      <c r="BB47" s="224">
        <v>40854.509394230372</v>
      </c>
      <c r="BC47" s="224">
        <v>39698.289337251648</v>
      </c>
      <c r="BD47" s="224">
        <v>38542.069280272925</v>
      </c>
      <c r="BE47" s="224">
        <v>37385.849223294201</v>
      </c>
      <c r="BF47" s="224">
        <v>36229.629166315477</v>
      </c>
      <c r="BG47" s="224">
        <v>35073.409109336753</v>
      </c>
      <c r="BH47" s="224">
        <v>33917.18905235803</v>
      </c>
      <c r="BI47" s="224">
        <v>32760.968995379306</v>
      </c>
      <c r="BJ47" s="224">
        <v>31604.748938400582</v>
      </c>
      <c r="BK47" s="224">
        <v>30448.528881421858</v>
      </c>
      <c r="BL47" s="224">
        <v>29292.308824443135</v>
      </c>
      <c r="BM47" s="224">
        <v>28136.088767464411</v>
      </c>
      <c r="BN47" s="224">
        <v>26979.868710485687</v>
      </c>
      <c r="BO47" s="224">
        <v>25823.648653506963</v>
      </c>
      <c r="BP47" s="224">
        <v>24667.42859652824</v>
      </c>
      <c r="BQ47" s="224">
        <v>23522.799941135032</v>
      </c>
      <c r="BR47" s="224">
        <v>22389.762687327344</v>
      </c>
      <c r="BS47" s="224">
        <v>21268.316835105172</v>
      </c>
      <c r="BT47" s="224">
        <v>20158.462384468519</v>
      </c>
      <c r="BU47" s="224">
        <v>19060.199335417383</v>
      </c>
      <c r="BV47" s="224">
        <v>17973.527687951762</v>
      </c>
      <c r="BW47" s="224">
        <v>16898.447442071661</v>
      </c>
      <c r="BX47" s="224">
        <v>15834.958597777078</v>
      </c>
      <c r="BY47" s="224">
        <v>14783.061155068011</v>
      </c>
      <c r="BZ47" s="224">
        <v>13742.755113944462</v>
      </c>
      <c r="CA47" s="224">
        <v>12714.040474406431</v>
      </c>
      <c r="CB47" s="224">
        <v>11696.917236453917</v>
      </c>
      <c r="CC47" s="224">
        <v>10722.174133416092</v>
      </c>
      <c r="CD47" s="224">
        <v>9789.8111652929547</v>
      </c>
      <c r="CE47" s="224">
        <v>8899.8283320845057</v>
      </c>
      <c r="CF47" s="224">
        <v>8052.2256337907447</v>
      </c>
      <c r="CG47" s="224">
        <v>7247.0030704116716</v>
      </c>
      <c r="CH47" s="224">
        <v>6484.1606419472864</v>
      </c>
      <c r="CI47" s="224">
        <v>5763.6983483975891</v>
      </c>
      <c r="CJ47" s="224">
        <v>5085.6161897625807</v>
      </c>
      <c r="CK47" s="224">
        <v>4449.9141660422601</v>
      </c>
      <c r="CL47" s="224">
        <v>3856.5922772366275</v>
      </c>
      <c r="CM47" s="224">
        <v>3305.6505233456828</v>
      </c>
      <c r="CN47" s="224">
        <v>2797.0889043694265</v>
      </c>
      <c r="CO47" s="224">
        <v>2330.907420307858</v>
      </c>
      <c r="CP47" s="224">
        <v>1907.1060711609775</v>
      </c>
      <c r="CQ47" s="224">
        <v>1525.6848569287852</v>
      </c>
      <c r="CR47" s="224">
        <v>1186.6437776112807</v>
      </c>
      <c r="CS47" s="224">
        <v>889.9828332084644</v>
      </c>
      <c r="CT47" s="224">
        <v>635.70202372033611</v>
      </c>
      <c r="CU47" s="224">
        <v>423.80134914689592</v>
      </c>
      <c r="CV47" s="224">
        <v>254.28080948814375</v>
      </c>
      <c r="CW47" s="224">
        <v>127.1404047440796</v>
      </c>
      <c r="CX47" s="224">
        <v>42.380134914703518</v>
      </c>
      <c r="CY47" s="224">
        <v>1.5475620784854982E-11</v>
      </c>
      <c r="CZ47" s="224">
        <v>1.5475620784854982E-11</v>
      </c>
      <c r="DA47" s="224">
        <v>1.5475620784854982E-11</v>
      </c>
      <c r="DB47" s="224">
        <v>1.5475620784854982E-11</v>
      </c>
      <c r="DC47" s="224">
        <v>1.5475620784854982E-11</v>
      </c>
      <c r="DD47" s="224">
        <v>1.5475620784854982E-11</v>
      </c>
      <c r="DE47" s="224">
        <v>1.5475620784854982E-11</v>
      </c>
      <c r="DF47" s="224">
        <v>1.5475620784854982E-11</v>
      </c>
      <c r="DG47" s="224">
        <v>1.5475620784854982E-11</v>
      </c>
      <c r="DH47" s="224">
        <v>1.5475620784854982E-11</v>
      </c>
      <c r="DI47" s="224">
        <v>1.5475620784854982E-11</v>
      </c>
      <c r="DJ47" s="224">
        <v>1.5475620784854982E-11</v>
      </c>
      <c r="DK47" s="224">
        <v>1.5475620784854982E-11</v>
      </c>
      <c r="DL47" s="224">
        <v>1.5475620784854982E-11</v>
      </c>
      <c r="DM47" s="224">
        <v>1.5475620784854982E-11</v>
      </c>
      <c r="DN47" s="224">
        <v>1.5475620784854982E-11</v>
      </c>
      <c r="DO47" s="224">
        <v>1.5475620784854982E-11</v>
      </c>
      <c r="DP47" s="224">
        <v>1.5475620784854982E-11</v>
      </c>
      <c r="DQ47" s="224">
        <v>1.5475620784854982E-11</v>
      </c>
      <c r="DR47" s="224">
        <v>1.5475620784854982E-11</v>
      </c>
      <c r="DS47" s="224">
        <v>1.5475620784854982E-11</v>
      </c>
      <c r="DT47" s="224">
        <v>1.5475620784854982E-11</v>
      </c>
      <c r="DU47" s="224">
        <v>1.5475620784854982E-11</v>
      </c>
      <c r="DV47" s="224">
        <v>1.5475620784854982E-11</v>
      </c>
      <c r="DW47" s="224">
        <v>1.5475620784854982E-11</v>
      </c>
      <c r="DX47" s="224">
        <v>1.5475620784854982E-11</v>
      </c>
      <c r="DY47" s="224">
        <v>1.5475620784854982E-11</v>
      </c>
      <c r="DZ47" s="224">
        <v>1.5475620784854982E-11</v>
      </c>
      <c r="EA47" s="224">
        <v>1.5475620784854982E-11</v>
      </c>
      <c r="EB47" s="224">
        <v>1.5475620784854982E-11</v>
      </c>
      <c r="EC47" s="224">
        <v>1.5475620784854982E-11</v>
      </c>
      <c r="ED47" s="224">
        <v>1.5475620784854982E-11</v>
      </c>
      <c r="EE47" s="224">
        <v>1.5475620784854982E-11</v>
      </c>
      <c r="EF47" s="224">
        <v>1.5475620784854982E-11</v>
      </c>
      <c r="EG47" s="224">
        <v>1.5475620784854982E-11</v>
      </c>
      <c r="EH47" s="224">
        <v>1.5475620784854982E-11</v>
      </c>
      <c r="EI47" s="224">
        <v>1.5475620784854982E-11</v>
      </c>
      <c r="EJ47" s="224">
        <v>1.5475620784854982E-11</v>
      </c>
      <c r="EK47" s="224">
        <v>1.5475620784854982E-11</v>
      </c>
      <c r="EL47" s="224">
        <v>1.5475620784854982E-11</v>
      </c>
      <c r="EM47" s="224">
        <v>1.5475620784854982E-11</v>
      </c>
      <c r="EN47" s="224">
        <v>1.5475620784854982E-11</v>
      </c>
      <c r="EO47" s="224">
        <v>1.5475620784854982E-11</v>
      </c>
      <c r="EP47" s="224">
        <v>1.5475620784854982E-11</v>
      </c>
      <c r="EQ47" s="224">
        <v>1.5475620784854982E-11</v>
      </c>
      <c r="ER47" s="224">
        <v>1.5475620784854982E-11</v>
      </c>
      <c r="ES47" s="224">
        <v>1.5475620784854982E-11</v>
      </c>
      <c r="ET47" s="224">
        <v>1.5475620784854982E-11</v>
      </c>
      <c r="EU47" s="224">
        <v>1.5475620784854982E-11</v>
      </c>
      <c r="EV47" s="224">
        <v>1.5475620784854982E-11</v>
      </c>
      <c r="EW47" s="224">
        <v>1.5475620784854982E-11</v>
      </c>
      <c r="EX47" s="224">
        <v>1.5475620784854982E-11</v>
      </c>
      <c r="EY47" s="224">
        <v>1.5475620784854982E-11</v>
      </c>
      <c r="EZ47" s="224">
        <v>1.5475620784854982E-11</v>
      </c>
      <c r="FA47" s="224">
        <v>1.5475620784854982E-11</v>
      </c>
      <c r="FB47" s="224">
        <v>1.5475620784854982E-11</v>
      </c>
      <c r="FC47" s="224">
        <v>1.5475620784854982E-11</v>
      </c>
      <c r="FD47" s="224">
        <v>1.5475620784854982E-11</v>
      </c>
      <c r="FE47" s="224">
        <v>1.5475620784854982E-11</v>
      </c>
      <c r="FF47" s="224">
        <v>1.5475620784854982E-11</v>
      </c>
      <c r="FG47" s="224">
        <v>1.5475620784854982E-11</v>
      </c>
    </row>
    <row r="48" spans="2:163" x14ac:dyDescent="0.25">
      <c r="B48" s="223" t="s">
        <v>443</v>
      </c>
      <c r="C48" s="223" t="s">
        <v>468</v>
      </c>
      <c r="D48" s="223" t="s">
        <v>469</v>
      </c>
      <c r="E48" s="223">
        <v>0</v>
      </c>
      <c r="F48" s="223" t="s">
        <v>470</v>
      </c>
      <c r="G48" s="223" t="s">
        <v>472</v>
      </c>
      <c r="H48" s="224">
        <v>695.48409513105128</v>
      </c>
      <c r="I48" s="224">
        <v>1379.376788676585</v>
      </c>
      <c r="J48" s="224">
        <v>2051.678080636601</v>
      </c>
      <c r="K48" s="224">
        <v>2712.3879710110996</v>
      </c>
      <c r="L48" s="224">
        <v>3361.5064598000808</v>
      </c>
      <c r="M48" s="224">
        <v>3999.0335470035443</v>
      </c>
      <c r="N48" s="224">
        <v>4624.9692326214908</v>
      </c>
      <c r="O48" s="224">
        <v>5239.3135166539196</v>
      </c>
      <c r="P48" s="224">
        <v>5842.0663991008314</v>
      </c>
      <c r="Q48" s="224">
        <v>6433.2278799622254</v>
      </c>
      <c r="R48" s="224">
        <v>7012.7979592381016</v>
      </c>
      <c r="S48" s="224">
        <v>7580.7766369284609</v>
      </c>
      <c r="T48" s="224">
        <v>10129.3425794502</v>
      </c>
      <c r="U48" s="224">
        <v>12633.114142612805</v>
      </c>
      <c r="V48" s="224">
        <v>15092.091326416279</v>
      </c>
      <c r="W48" s="224">
        <v>17506.27413086062</v>
      </c>
      <c r="X48" s="224">
        <v>19875.66255594583</v>
      </c>
      <c r="Y48" s="224">
        <v>22200.256601671907</v>
      </c>
      <c r="Z48" s="224">
        <v>24480.05626803885</v>
      </c>
      <c r="AA48" s="224">
        <v>26715.061555046661</v>
      </c>
      <c r="AB48" s="224">
        <v>28905.272462695339</v>
      </c>
      <c r="AC48" s="224">
        <v>31050.688990984883</v>
      </c>
      <c r="AD48" s="224">
        <v>33151.311139915299</v>
      </c>
      <c r="AE48" s="224">
        <v>35207.138909486581</v>
      </c>
      <c r="AF48" s="224">
        <v>37218.17229969873</v>
      </c>
      <c r="AG48" s="224">
        <v>39184.411310551746</v>
      </c>
      <c r="AH48" s="224">
        <v>41105.855942045629</v>
      </c>
      <c r="AI48" s="224">
        <v>42982.506194180387</v>
      </c>
      <c r="AJ48" s="224">
        <v>44814.362066956011</v>
      </c>
      <c r="AK48" s="224">
        <v>46601.423560372503</v>
      </c>
      <c r="AL48" s="224">
        <v>48343.690674429861</v>
      </c>
      <c r="AM48" s="224">
        <v>50041.163409128087</v>
      </c>
      <c r="AN48" s="224">
        <v>51693.841764467179</v>
      </c>
      <c r="AO48" s="224">
        <v>53301.725740447138</v>
      </c>
      <c r="AP48" s="224">
        <v>54864.815337067965</v>
      </c>
      <c r="AQ48" s="224">
        <v>56383.110554329658</v>
      </c>
      <c r="AR48" s="224">
        <v>55168.948630684266</v>
      </c>
      <c r="AS48" s="224">
        <v>53954.786707038875</v>
      </c>
      <c r="AT48" s="224">
        <v>52740.624783393483</v>
      </c>
      <c r="AU48" s="224">
        <v>51526.462859748091</v>
      </c>
      <c r="AV48" s="224">
        <v>50312.3009361027</v>
      </c>
      <c r="AW48" s="224">
        <v>49098.139012457308</v>
      </c>
      <c r="AX48" s="224">
        <v>47883.977088811916</v>
      </c>
      <c r="AY48" s="224">
        <v>46669.815165166525</v>
      </c>
      <c r="AZ48" s="224">
        <v>45455.653241521133</v>
      </c>
      <c r="BA48" s="224">
        <v>44241.491317875742</v>
      </c>
      <c r="BB48" s="224">
        <v>43027.32939423035</v>
      </c>
      <c r="BC48" s="224">
        <v>41813.167470584958</v>
      </c>
      <c r="BD48" s="224">
        <v>40599.005546939567</v>
      </c>
      <c r="BE48" s="224">
        <v>39384.843623294175</v>
      </c>
      <c r="BF48" s="224">
        <v>38170.681699648783</v>
      </c>
      <c r="BG48" s="224">
        <v>36956.519776003392</v>
      </c>
      <c r="BH48" s="224">
        <v>35742.357852358</v>
      </c>
      <c r="BI48" s="224">
        <v>34528.195928712608</v>
      </c>
      <c r="BJ48" s="224">
        <v>33314.034005067217</v>
      </c>
      <c r="BK48" s="224">
        <v>32099.872081421825</v>
      </c>
      <c r="BL48" s="224">
        <v>30885.710157776433</v>
      </c>
      <c r="BM48" s="224">
        <v>29671.548234131042</v>
      </c>
      <c r="BN48" s="224">
        <v>28457.38631048565</v>
      </c>
      <c r="BO48" s="224">
        <v>27243.224386840258</v>
      </c>
      <c r="BP48" s="224">
        <v>26029.062463194867</v>
      </c>
      <c r="BQ48" s="224">
        <v>24826.491941134995</v>
      </c>
      <c r="BR48" s="224">
        <v>23635.512820660639</v>
      </c>
      <c r="BS48" s="224">
        <v>22456.125101771802</v>
      </c>
      <c r="BT48" s="224">
        <v>21288.328784468482</v>
      </c>
      <c r="BU48" s="224">
        <v>20132.123868750678</v>
      </c>
      <c r="BV48" s="224">
        <v>18987.510354618393</v>
      </c>
      <c r="BW48" s="224">
        <v>17854.488242071624</v>
      </c>
      <c r="BX48" s="224">
        <v>16733.057531110375</v>
      </c>
      <c r="BY48" s="224">
        <v>15623.218221734642</v>
      </c>
      <c r="BZ48" s="224">
        <v>14524.970313944426</v>
      </c>
      <c r="CA48" s="224">
        <v>13438.313807739729</v>
      </c>
      <c r="CB48" s="224">
        <v>12363.248703120549</v>
      </c>
      <c r="CC48" s="224">
        <v>11332.977977860501</v>
      </c>
      <c r="CD48" s="224">
        <v>10347.501631959585</v>
      </c>
      <c r="CE48" s="224">
        <v>9406.8196654178028</v>
      </c>
      <c r="CF48" s="224">
        <v>8510.9320782351533</v>
      </c>
      <c r="CG48" s="224">
        <v>7659.838870411636</v>
      </c>
      <c r="CH48" s="224">
        <v>6853.5400419472508</v>
      </c>
      <c r="CI48" s="224">
        <v>6092.0355928419986</v>
      </c>
      <c r="CJ48" s="224">
        <v>5375.3255230958785</v>
      </c>
      <c r="CK48" s="224">
        <v>4703.4098327088914</v>
      </c>
      <c r="CL48" s="224">
        <v>4076.2885216810364</v>
      </c>
      <c r="CM48" s="224">
        <v>3493.9615900123144</v>
      </c>
      <c r="CN48" s="224">
        <v>2956.4290377027246</v>
      </c>
      <c r="CO48" s="224">
        <v>2463.6908647522673</v>
      </c>
      <c r="CP48" s="224">
        <v>2015.7470711609426</v>
      </c>
      <c r="CQ48" s="224">
        <v>1612.5976569287502</v>
      </c>
      <c r="CR48" s="224">
        <v>1254.2426220556904</v>
      </c>
      <c r="CS48" s="224">
        <v>940.68196654176302</v>
      </c>
      <c r="CT48" s="224">
        <v>671.91569038696821</v>
      </c>
      <c r="CU48" s="224">
        <v>447.94379359130585</v>
      </c>
      <c r="CV48" s="224">
        <v>268.76627615477594</v>
      </c>
      <c r="CW48" s="224">
        <v>134.3831380773785</v>
      </c>
      <c r="CX48" s="224">
        <v>44.794379359113549</v>
      </c>
      <c r="CY48" s="224">
        <v>-1.8928858480649069E-11</v>
      </c>
      <c r="CZ48" s="224">
        <v>-1.8928858480649069E-11</v>
      </c>
      <c r="DA48" s="224">
        <v>-1.8928858480649069E-11</v>
      </c>
      <c r="DB48" s="224">
        <v>-1.8928858480649069E-11</v>
      </c>
      <c r="DC48" s="224">
        <v>-1.8928858480649069E-11</v>
      </c>
      <c r="DD48" s="224">
        <v>-1.8928858480649069E-11</v>
      </c>
      <c r="DE48" s="224">
        <v>-1.8928858480649069E-11</v>
      </c>
      <c r="DF48" s="224">
        <v>-1.8928858480649069E-11</v>
      </c>
      <c r="DG48" s="224">
        <v>-1.8928858480649069E-11</v>
      </c>
      <c r="DH48" s="224">
        <v>-1.8928858480649069E-11</v>
      </c>
      <c r="DI48" s="224">
        <v>-1.8928858480649069E-11</v>
      </c>
      <c r="DJ48" s="224">
        <v>-1.8928858480649069E-11</v>
      </c>
      <c r="DK48" s="224">
        <v>-1.8928858480649069E-11</v>
      </c>
      <c r="DL48" s="224">
        <v>-1.8928858480649069E-11</v>
      </c>
      <c r="DM48" s="224">
        <v>-1.8928858480649069E-11</v>
      </c>
      <c r="DN48" s="224">
        <v>-1.8928858480649069E-11</v>
      </c>
      <c r="DO48" s="224">
        <v>-1.8928858480649069E-11</v>
      </c>
      <c r="DP48" s="224">
        <v>-1.8928858480649069E-11</v>
      </c>
      <c r="DQ48" s="224">
        <v>-1.8928858480649069E-11</v>
      </c>
      <c r="DR48" s="224">
        <v>-1.8928858480649069E-11</v>
      </c>
      <c r="DS48" s="224">
        <v>-1.8928858480649069E-11</v>
      </c>
      <c r="DT48" s="224">
        <v>-1.8928858480649069E-11</v>
      </c>
      <c r="DU48" s="224">
        <v>-1.8928858480649069E-11</v>
      </c>
      <c r="DV48" s="224">
        <v>-1.8928858480649069E-11</v>
      </c>
      <c r="DW48" s="224">
        <v>-1.8928858480649069E-11</v>
      </c>
      <c r="DX48" s="224">
        <v>-1.8928858480649069E-11</v>
      </c>
      <c r="DY48" s="224">
        <v>-1.8928858480649069E-11</v>
      </c>
      <c r="DZ48" s="224">
        <v>-1.8928858480649069E-11</v>
      </c>
      <c r="EA48" s="224">
        <v>-1.8928858480649069E-11</v>
      </c>
      <c r="EB48" s="224">
        <v>-1.8928858480649069E-11</v>
      </c>
      <c r="EC48" s="224">
        <v>-1.8928858480649069E-11</v>
      </c>
      <c r="ED48" s="224">
        <v>-1.8928858480649069E-11</v>
      </c>
      <c r="EE48" s="224">
        <v>-1.8928858480649069E-11</v>
      </c>
      <c r="EF48" s="224">
        <v>-1.8928858480649069E-11</v>
      </c>
      <c r="EG48" s="224">
        <v>-1.8928858480649069E-11</v>
      </c>
      <c r="EH48" s="224">
        <v>-1.8928858480649069E-11</v>
      </c>
      <c r="EI48" s="224">
        <v>-1.8928858480649069E-11</v>
      </c>
      <c r="EJ48" s="224">
        <v>-1.8928858480649069E-11</v>
      </c>
      <c r="EK48" s="224">
        <v>-1.8928858480649069E-11</v>
      </c>
      <c r="EL48" s="224">
        <v>-1.8928858480649069E-11</v>
      </c>
      <c r="EM48" s="224">
        <v>-1.8928858480649069E-11</v>
      </c>
      <c r="EN48" s="224">
        <v>-1.8928858480649069E-11</v>
      </c>
      <c r="EO48" s="224">
        <v>-1.8928858480649069E-11</v>
      </c>
      <c r="EP48" s="224">
        <v>-1.8928858480649069E-11</v>
      </c>
      <c r="EQ48" s="224">
        <v>-1.8928858480649069E-11</v>
      </c>
      <c r="ER48" s="224">
        <v>-1.8928858480649069E-11</v>
      </c>
      <c r="ES48" s="224">
        <v>-1.8928858480649069E-11</v>
      </c>
      <c r="ET48" s="224">
        <v>-1.8928858480649069E-11</v>
      </c>
      <c r="EU48" s="224">
        <v>-1.8928858480649069E-11</v>
      </c>
      <c r="EV48" s="224">
        <v>-1.8928858480649069E-11</v>
      </c>
      <c r="EW48" s="224">
        <v>-1.8928858480649069E-11</v>
      </c>
      <c r="EX48" s="224">
        <v>-1.8928858480649069E-11</v>
      </c>
      <c r="EY48" s="224">
        <v>-1.8928858480649069E-11</v>
      </c>
      <c r="EZ48" s="224">
        <v>-1.8928858480649069E-11</v>
      </c>
      <c r="FA48" s="224">
        <v>-1.8928858480649069E-11</v>
      </c>
      <c r="FB48" s="224">
        <v>-1.8928858480649069E-11</v>
      </c>
      <c r="FC48" s="224">
        <v>-1.8928858480649069E-11</v>
      </c>
      <c r="FD48" s="224">
        <v>-1.8928858480649069E-11</v>
      </c>
      <c r="FE48" s="224">
        <v>-1.8928858480649069E-11</v>
      </c>
      <c r="FF48" s="224">
        <v>-1.8928858480649069E-11</v>
      </c>
      <c r="FG48" s="224">
        <v>-1.8928858480649069E-11</v>
      </c>
    </row>
    <row r="49" spans="2:163" x14ac:dyDescent="0.25">
      <c r="B49" s="223" t="s">
        <v>395</v>
      </c>
      <c r="C49" s="223" t="s">
        <v>395</v>
      </c>
      <c r="D49" s="223" t="s">
        <v>395</v>
      </c>
      <c r="E49" s="223">
        <v>0</v>
      </c>
      <c r="F49" s="223" t="s">
        <v>395</v>
      </c>
      <c r="G49" s="223" t="s">
        <v>395</v>
      </c>
      <c r="H49" s="224">
        <v>0</v>
      </c>
      <c r="I49" s="224">
        <v>0</v>
      </c>
      <c r="J49" s="224">
        <v>0</v>
      </c>
      <c r="K49" s="224">
        <v>0</v>
      </c>
      <c r="L49" s="224">
        <v>0</v>
      </c>
      <c r="M49" s="224">
        <v>0</v>
      </c>
      <c r="N49" s="224">
        <v>0</v>
      </c>
      <c r="O49" s="224">
        <v>0</v>
      </c>
      <c r="P49" s="224">
        <v>0</v>
      </c>
      <c r="Q49" s="224">
        <v>0</v>
      </c>
      <c r="R49" s="224">
        <v>0</v>
      </c>
      <c r="S49" s="224">
        <v>0</v>
      </c>
      <c r="T49" s="224">
        <v>0</v>
      </c>
      <c r="U49" s="224">
        <v>0</v>
      </c>
      <c r="V49" s="224">
        <v>0</v>
      </c>
      <c r="W49" s="224">
        <v>0</v>
      </c>
      <c r="X49" s="224">
        <v>0</v>
      </c>
      <c r="Y49" s="224">
        <v>0</v>
      </c>
      <c r="Z49" s="224">
        <v>0</v>
      </c>
      <c r="AA49" s="224">
        <v>0</v>
      </c>
      <c r="AB49" s="224">
        <v>0</v>
      </c>
      <c r="AC49" s="224">
        <v>0</v>
      </c>
      <c r="AD49" s="224">
        <v>0</v>
      </c>
      <c r="AE49" s="224">
        <v>0</v>
      </c>
      <c r="AF49" s="224">
        <v>0</v>
      </c>
      <c r="AG49" s="224">
        <v>0</v>
      </c>
      <c r="AH49" s="224">
        <v>0</v>
      </c>
      <c r="AI49" s="224">
        <v>0</v>
      </c>
      <c r="AJ49" s="224">
        <v>0</v>
      </c>
      <c r="AK49" s="224">
        <v>0</v>
      </c>
      <c r="AL49" s="224">
        <v>0</v>
      </c>
      <c r="AM49" s="224">
        <v>0</v>
      </c>
      <c r="AN49" s="224">
        <v>0</v>
      </c>
      <c r="AO49" s="224">
        <v>0</v>
      </c>
      <c r="AP49" s="224">
        <v>0</v>
      </c>
      <c r="AQ49" s="224">
        <v>0</v>
      </c>
      <c r="AR49" s="224">
        <v>0</v>
      </c>
      <c r="AS49" s="224">
        <v>0</v>
      </c>
      <c r="AT49" s="224">
        <v>0</v>
      </c>
      <c r="AU49" s="224">
        <v>0</v>
      </c>
      <c r="AV49" s="224">
        <v>0</v>
      </c>
      <c r="AW49" s="224">
        <v>0</v>
      </c>
      <c r="AX49" s="224">
        <v>0</v>
      </c>
      <c r="AY49" s="224">
        <v>0</v>
      </c>
      <c r="AZ49" s="224">
        <v>0</v>
      </c>
      <c r="BA49" s="224">
        <v>0</v>
      </c>
      <c r="BB49" s="224">
        <v>0</v>
      </c>
      <c r="BC49" s="224">
        <v>0</v>
      </c>
      <c r="BD49" s="224">
        <v>0</v>
      </c>
      <c r="BE49" s="224">
        <v>0</v>
      </c>
      <c r="BF49" s="224">
        <v>0</v>
      </c>
      <c r="BG49" s="224">
        <v>0</v>
      </c>
      <c r="BH49" s="224">
        <v>0</v>
      </c>
      <c r="BI49" s="224">
        <v>0</v>
      </c>
      <c r="BJ49" s="224">
        <v>0</v>
      </c>
      <c r="BK49" s="224">
        <v>0</v>
      </c>
      <c r="BL49" s="224">
        <v>0</v>
      </c>
      <c r="BM49" s="224">
        <v>0</v>
      </c>
      <c r="BN49" s="224">
        <v>0</v>
      </c>
      <c r="BO49" s="224">
        <v>0</v>
      </c>
      <c r="BP49" s="224">
        <v>0</v>
      </c>
      <c r="BQ49" s="224">
        <v>0</v>
      </c>
      <c r="BR49" s="224">
        <v>0</v>
      </c>
      <c r="BS49" s="224">
        <v>0</v>
      </c>
      <c r="BT49" s="224">
        <v>0</v>
      </c>
      <c r="BU49" s="224">
        <v>0</v>
      </c>
      <c r="BV49" s="224">
        <v>0</v>
      </c>
      <c r="BW49" s="224">
        <v>0</v>
      </c>
      <c r="BX49" s="224">
        <v>0</v>
      </c>
      <c r="BY49" s="224">
        <v>0</v>
      </c>
      <c r="BZ49" s="224">
        <v>0</v>
      </c>
      <c r="CA49" s="224">
        <v>0</v>
      </c>
      <c r="CB49" s="224">
        <v>0</v>
      </c>
      <c r="CC49" s="224">
        <v>0</v>
      </c>
      <c r="CD49" s="224">
        <v>0</v>
      </c>
      <c r="CE49" s="224">
        <v>0</v>
      </c>
      <c r="CF49" s="224">
        <v>0</v>
      </c>
      <c r="CG49" s="224">
        <v>0</v>
      </c>
      <c r="CH49" s="224">
        <v>0</v>
      </c>
      <c r="CI49" s="224">
        <v>0</v>
      </c>
      <c r="CJ49" s="224">
        <v>0</v>
      </c>
      <c r="CK49" s="224">
        <v>0</v>
      </c>
      <c r="CL49" s="224">
        <v>0</v>
      </c>
      <c r="CM49" s="224">
        <v>0</v>
      </c>
      <c r="CN49" s="224">
        <v>0</v>
      </c>
      <c r="CO49" s="224">
        <v>0</v>
      </c>
      <c r="CP49" s="224">
        <v>0</v>
      </c>
      <c r="CQ49" s="224">
        <v>0</v>
      </c>
      <c r="CR49" s="224">
        <v>0</v>
      </c>
      <c r="CS49" s="224">
        <v>0</v>
      </c>
      <c r="CT49" s="224">
        <v>0</v>
      </c>
      <c r="CU49" s="224">
        <v>0</v>
      </c>
      <c r="CV49" s="224">
        <v>0</v>
      </c>
      <c r="CW49" s="224">
        <v>0</v>
      </c>
      <c r="CX49" s="224">
        <v>0</v>
      </c>
      <c r="CY49" s="224">
        <v>0</v>
      </c>
      <c r="CZ49" s="224">
        <v>0</v>
      </c>
      <c r="DA49" s="224">
        <v>0</v>
      </c>
      <c r="DB49" s="224">
        <v>0</v>
      </c>
      <c r="DC49" s="224">
        <v>0</v>
      </c>
      <c r="DD49" s="224">
        <v>0</v>
      </c>
      <c r="DE49" s="224">
        <v>0</v>
      </c>
      <c r="DF49" s="224">
        <v>0</v>
      </c>
      <c r="DG49" s="224">
        <v>0</v>
      </c>
      <c r="DH49" s="224">
        <v>0</v>
      </c>
      <c r="DI49" s="224">
        <v>0</v>
      </c>
      <c r="DJ49" s="224">
        <v>0</v>
      </c>
      <c r="DK49" s="224">
        <v>0</v>
      </c>
      <c r="DL49" s="224">
        <v>0</v>
      </c>
      <c r="DM49" s="224">
        <v>0</v>
      </c>
      <c r="DN49" s="224">
        <v>0</v>
      </c>
      <c r="DO49" s="224">
        <v>0</v>
      </c>
      <c r="DP49" s="224">
        <v>0</v>
      </c>
      <c r="DQ49" s="224">
        <v>0</v>
      </c>
      <c r="DR49" s="224">
        <v>0</v>
      </c>
      <c r="DS49" s="224">
        <v>0</v>
      </c>
      <c r="DT49" s="224">
        <v>0</v>
      </c>
      <c r="DU49" s="224">
        <v>0</v>
      </c>
      <c r="DV49" s="224">
        <v>0</v>
      </c>
      <c r="DW49" s="224">
        <v>0</v>
      </c>
      <c r="DX49" s="224">
        <v>0</v>
      </c>
      <c r="DY49" s="224">
        <v>0</v>
      </c>
      <c r="DZ49" s="224">
        <v>0</v>
      </c>
      <c r="EA49" s="224">
        <v>0</v>
      </c>
      <c r="EB49" s="224">
        <v>0</v>
      </c>
      <c r="EC49" s="224">
        <v>0</v>
      </c>
      <c r="ED49" s="224">
        <v>0</v>
      </c>
      <c r="EE49" s="224">
        <v>0</v>
      </c>
      <c r="EF49" s="224">
        <v>0</v>
      </c>
      <c r="EG49" s="224">
        <v>0</v>
      </c>
      <c r="EH49" s="224">
        <v>0</v>
      </c>
      <c r="EI49" s="224">
        <v>0</v>
      </c>
      <c r="EJ49" s="224">
        <v>0</v>
      </c>
      <c r="EK49" s="224">
        <v>0</v>
      </c>
      <c r="EL49" s="224">
        <v>0</v>
      </c>
      <c r="EM49" s="224">
        <v>0</v>
      </c>
      <c r="EN49" s="224">
        <v>0</v>
      </c>
      <c r="EO49" s="224">
        <v>0</v>
      </c>
      <c r="EP49" s="224">
        <v>0</v>
      </c>
      <c r="EQ49" s="224">
        <v>0</v>
      </c>
      <c r="ER49" s="224">
        <v>0</v>
      </c>
      <c r="ES49" s="224">
        <v>0</v>
      </c>
      <c r="ET49" s="224">
        <v>0</v>
      </c>
      <c r="EU49" s="224">
        <v>0</v>
      </c>
      <c r="EV49" s="224">
        <v>0</v>
      </c>
      <c r="EW49" s="224">
        <v>0</v>
      </c>
      <c r="EX49" s="224">
        <v>0</v>
      </c>
      <c r="EY49" s="224">
        <v>0</v>
      </c>
      <c r="EZ49" s="224">
        <v>0</v>
      </c>
      <c r="FA49" s="224">
        <v>0</v>
      </c>
      <c r="FB49" s="224">
        <v>0</v>
      </c>
      <c r="FC49" s="224">
        <v>0</v>
      </c>
      <c r="FD49" s="224">
        <v>0</v>
      </c>
      <c r="FE49" s="224">
        <v>0</v>
      </c>
      <c r="FF49" s="224">
        <v>0</v>
      </c>
      <c r="FG49" s="224">
        <v>0</v>
      </c>
    </row>
    <row r="50" spans="2:163" x14ac:dyDescent="0.25">
      <c r="B50" s="223" t="s">
        <v>395</v>
      </c>
      <c r="C50" s="223" t="s">
        <v>395</v>
      </c>
      <c r="D50" s="223" t="s">
        <v>395</v>
      </c>
      <c r="E50" s="223">
        <v>0</v>
      </c>
      <c r="F50" s="223" t="s">
        <v>395</v>
      </c>
      <c r="G50" s="223" t="s">
        <v>395</v>
      </c>
      <c r="H50" s="224">
        <v>0</v>
      </c>
      <c r="I50" s="224">
        <v>0</v>
      </c>
      <c r="J50" s="224">
        <v>0</v>
      </c>
      <c r="K50" s="224">
        <v>0</v>
      </c>
      <c r="L50" s="224">
        <v>0</v>
      </c>
      <c r="M50" s="224">
        <v>0</v>
      </c>
      <c r="N50" s="224">
        <v>0</v>
      </c>
      <c r="O50" s="224">
        <v>0</v>
      </c>
      <c r="P50" s="224">
        <v>0</v>
      </c>
      <c r="Q50" s="224">
        <v>0</v>
      </c>
      <c r="R50" s="224">
        <v>0</v>
      </c>
      <c r="S50" s="224">
        <v>0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24">
        <v>0</v>
      </c>
      <c r="AC50" s="224">
        <v>0</v>
      </c>
      <c r="AD50" s="224">
        <v>0</v>
      </c>
      <c r="AE50" s="224">
        <v>0</v>
      </c>
      <c r="AF50" s="224">
        <v>0</v>
      </c>
      <c r="AG50" s="224">
        <v>0</v>
      </c>
      <c r="AH50" s="224">
        <v>0</v>
      </c>
      <c r="AI50" s="224">
        <v>0</v>
      </c>
      <c r="AJ50" s="224">
        <v>0</v>
      </c>
      <c r="AK50" s="224">
        <v>0</v>
      </c>
      <c r="AL50" s="224">
        <v>0</v>
      </c>
      <c r="AM50" s="224">
        <v>0</v>
      </c>
      <c r="AN50" s="224">
        <v>0</v>
      </c>
      <c r="AO50" s="224">
        <v>0</v>
      </c>
      <c r="AP50" s="224">
        <v>0</v>
      </c>
      <c r="AQ50" s="224">
        <v>0</v>
      </c>
      <c r="AR50" s="224">
        <v>0</v>
      </c>
      <c r="AS50" s="224">
        <v>0</v>
      </c>
      <c r="AT50" s="224">
        <v>0</v>
      </c>
      <c r="AU50" s="224">
        <v>0</v>
      </c>
      <c r="AV50" s="224">
        <v>0</v>
      </c>
      <c r="AW50" s="224">
        <v>0</v>
      </c>
      <c r="AX50" s="224">
        <v>0</v>
      </c>
      <c r="AY50" s="224">
        <v>0</v>
      </c>
      <c r="AZ50" s="224">
        <v>0</v>
      </c>
      <c r="BA50" s="224">
        <v>0</v>
      </c>
      <c r="BB50" s="224">
        <v>0</v>
      </c>
      <c r="BC50" s="224">
        <v>0</v>
      </c>
      <c r="BD50" s="224">
        <v>0</v>
      </c>
      <c r="BE50" s="224">
        <v>0</v>
      </c>
      <c r="BF50" s="224">
        <v>0</v>
      </c>
      <c r="BG50" s="224">
        <v>0</v>
      </c>
      <c r="BH50" s="224">
        <v>0</v>
      </c>
      <c r="BI50" s="224">
        <v>0</v>
      </c>
      <c r="BJ50" s="224">
        <v>0</v>
      </c>
      <c r="BK50" s="224">
        <v>0</v>
      </c>
      <c r="BL50" s="224">
        <v>0</v>
      </c>
      <c r="BM50" s="224">
        <v>0</v>
      </c>
      <c r="BN50" s="224">
        <v>0</v>
      </c>
      <c r="BO50" s="224">
        <v>0</v>
      </c>
      <c r="BP50" s="224">
        <v>0</v>
      </c>
      <c r="BQ50" s="224">
        <v>0</v>
      </c>
      <c r="BR50" s="224">
        <v>0</v>
      </c>
      <c r="BS50" s="224">
        <v>0</v>
      </c>
      <c r="BT50" s="224">
        <v>0</v>
      </c>
      <c r="BU50" s="224">
        <v>0</v>
      </c>
      <c r="BV50" s="224">
        <v>0</v>
      </c>
      <c r="BW50" s="224">
        <v>0</v>
      </c>
      <c r="BX50" s="224">
        <v>0</v>
      </c>
      <c r="BY50" s="224">
        <v>0</v>
      </c>
      <c r="BZ50" s="224">
        <v>0</v>
      </c>
      <c r="CA50" s="224">
        <v>0</v>
      </c>
      <c r="CB50" s="224">
        <v>0</v>
      </c>
      <c r="CC50" s="224">
        <v>0</v>
      </c>
      <c r="CD50" s="224">
        <v>0</v>
      </c>
      <c r="CE50" s="224">
        <v>0</v>
      </c>
      <c r="CF50" s="224">
        <v>0</v>
      </c>
      <c r="CG50" s="224">
        <v>0</v>
      </c>
      <c r="CH50" s="224">
        <v>0</v>
      </c>
      <c r="CI50" s="224">
        <v>0</v>
      </c>
      <c r="CJ50" s="224">
        <v>0</v>
      </c>
      <c r="CK50" s="224">
        <v>0</v>
      </c>
      <c r="CL50" s="224">
        <v>0</v>
      </c>
      <c r="CM50" s="224">
        <v>0</v>
      </c>
      <c r="CN50" s="224">
        <v>0</v>
      </c>
      <c r="CO50" s="224">
        <v>0</v>
      </c>
      <c r="CP50" s="224">
        <v>0</v>
      </c>
      <c r="CQ50" s="224">
        <v>0</v>
      </c>
      <c r="CR50" s="224">
        <v>0</v>
      </c>
      <c r="CS50" s="224">
        <v>0</v>
      </c>
      <c r="CT50" s="224">
        <v>0</v>
      </c>
      <c r="CU50" s="224">
        <v>0</v>
      </c>
      <c r="CV50" s="224">
        <v>0</v>
      </c>
      <c r="CW50" s="224">
        <v>0</v>
      </c>
      <c r="CX50" s="224">
        <v>0</v>
      </c>
      <c r="CY50" s="224">
        <v>0</v>
      </c>
      <c r="CZ50" s="224">
        <v>0</v>
      </c>
      <c r="DA50" s="224">
        <v>0</v>
      </c>
      <c r="DB50" s="224">
        <v>0</v>
      </c>
      <c r="DC50" s="224">
        <v>0</v>
      </c>
      <c r="DD50" s="224">
        <v>0</v>
      </c>
      <c r="DE50" s="224">
        <v>0</v>
      </c>
      <c r="DF50" s="224">
        <v>0</v>
      </c>
      <c r="DG50" s="224">
        <v>0</v>
      </c>
      <c r="DH50" s="224">
        <v>0</v>
      </c>
      <c r="DI50" s="224">
        <v>0</v>
      </c>
      <c r="DJ50" s="224">
        <v>0</v>
      </c>
      <c r="DK50" s="224">
        <v>0</v>
      </c>
      <c r="DL50" s="224">
        <v>0</v>
      </c>
      <c r="DM50" s="224">
        <v>0</v>
      </c>
      <c r="DN50" s="224">
        <v>0</v>
      </c>
      <c r="DO50" s="224">
        <v>0</v>
      </c>
      <c r="DP50" s="224">
        <v>0</v>
      </c>
      <c r="DQ50" s="224">
        <v>0</v>
      </c>
      <c r="DR50" s="224">
        <v>0</v>
      </c>
      <c r="DS50" s="224">
        <v>0</v>
      </c>
      <c r="DT50" s="224">
        <v>0</v>
      </c>
      <c r="DU50" s="224">
        <v>0</v>
      </c>
      <c r="DV50" s="224">
        <v>0</v>
      </c>
      <c r="DW50" s="224">
        <v>0</v>
      </c>
      <c r="DX50" s="224">
        <v>0</v>
      </c>
      <c r="DY50" s="224">
        <v>0</v>
      </c>
      <c r="DZ50" s="224">
        <v>0</v>
      </c>
      <c r="EA50" s="224">
        <v>0</v>
      </c>
      <c r="EB50" s="224">
        <v>0</v>
      </c>
      <c r="EC50" s="224">
        <v>0</v>
      </c>
      <c r="ED50" s="224">
        <v>0</v>
      </c>
      <c r="EE50" s="224">
        <v>0</v>
      </c>
      <c r="EF50" s="224">
        <v>0</v>
      </c>
      <c r="EG50" s="224">
        <v>0</v>
      </c>
      <c r="EH50" s="224">
        <v>0</v>
      </c>
      <c r="EI50" s="224">
        <v>0</v>
      </c>
      <c r="EJ50" s="224">
        <v>0</v>
      </c>
      <c r="EK50" s="224">
        <v>0</v>
      </c>
      <c r="EL50" s="224">
        <v>0</v>
      </c>
      <c r="EM50" s="224">
        <v>0</v>
      </c>
      <c r="EN50" s="224">
        <v>0</v>
      </c>
      <c r="EO50" s="224">
        <v>0</v>
      </c>
      <c r="EP50" s="224">
        <v>0</v>
      </c>
      <c r="EQ50" s="224">
        <v>0</v>
      </c>
      <c r="ER50" s="224">
        <v>0</v>
      </c>
      <c r="ES50" s="224">
        <v>0</v>
      </c>
      <c r="ET50" s="224">
        <v>0</v>
      </c>
      <c r="EU50" s="224">
        <v>0</v>
      </c>
      <c r="EV50" s="224">
        <v>0</v>
      </c>
      <c r="EW50" s="224">
        <v>0</v>
      </c>
      <c r="EX50" s="224">
        <v>0</v>
      </c>
      <c r="EY50" s="224">
        <v>0</v>
      </c>
      <c r="EZ50" s="224">
        <v>0</v>
      </c>
      <c r="FA50" s="224">
        <v>0</v>
      </c>
      <c r="FB50" s="224">
        <v>0</v>
      </c>
      <c r="FC50" s="224">
        <v>0</v>
      </c>
      <c r="FD50" s="224">
        <v>0</v>
      </c>
      <c r="FE50" s="224">
        <v>0</v>
      </c>
      <c r="FF50" s="224">
        <v>0</v>
      </c>
      <c r="FG50" s="224">
        <v>0</v>
      </c>
    </row>
    <row r="51" spans="2:163" x14ac:dyDescent="0.25">
      <c r="B51" s="223" t="s">
        <v>395</v>
      </c>
      <c r="C51" s="223" t="s">
        <v>395</v>
      </c>
      <c r="D51" s="223" t="s">
        <v>395</v>
      </c>
      <c r="E51" s="223">
        <v>0</v>
      </c>
      <c r="F51" s="223" t="s">
        <v>395</v>
      </c>
      <c r="G51" s="223" t="s">
        <v>395</v>
      </c>
      <c r="H51" s="224">
        <v>0</v>
      </c>
      <c r="I51" s="224">
        <v>0</v>
      </c>
      <c r="J51" s="224">
        <v>0</v>
      </c>
      <c r="K51" s="224">
        <v>0</v>
      </c>
      <c r="L51" s="224">
        <v>0</v>
      </c>
      <c r="M51" s="224">
        <v>0</v>
      </c>
      <c r="N51" s="224">
        <v>0</v>
      </c>
      <c r="O51" s="224">
        <v>0</v>
      </c>
      <c r="P51" s="224">
        <v>0</v>
      </c>
      <c r="Q51" s="224">
        <v>0</v>
      </c>
      <c r="R51" s="224">
        <v>0</v>
      </c>
      <c r="S51" s="224">
        <v>0</v>
      </c>
      <c r="T51" s="224">
        <v>0</v>
      </c>
      <c r="U51" s="224">
        <v>0</v>
      </c>
      <c r="V51" s="224">
        <v>0</v>
      </c>
      <c r="W51" s="224">
        <v>0</v>
      </c>
      <c r="X51" s="224">
        <v>0</v>
      </c>
      <c r="Y51" s="224">
        <v>0</v>
      </c>
      <c r="Z51" s="224">
        <v>0</v>
      </c>
      <c r="AA51" s="224">
        <v>0</v>
      </c>
      <c r="AB51" s="224">
        <v>0</v>
      </c>
      <c r="AC51" s="224">
        <v>0</v>
      </c>
      <c r="AD51" s="224">
        <v>0</v>
      </c>
      <c r="AE51" s="224">
        <v>0</v>
      </c>
      <c r="AF51" s="224">
        <v>0</v>
      </c>
      <c r="AG51" s="224">
        <v>0</v>
      </c>
      <c r="AH51" s="224">
        <v>0</v>
      </c>
      <c r="AI51" s="224">
        <v>0</v>
      </c>
      <c r="AJ51" s="224">
        <v>0</v>
      </c>
      <c r="AK51" s="224">
        <v>0</v>
      </c>
      <c r="AL51" s="224">
        <v>0</v>
      </c>
      <c r="AM51" s="224">
        <v>0</v>
      </c>
      <c r="AN51" s="224">
        <v>0</v>
      </c>
      <c r="AO51" s="224">
        <v>0</v>
      </c>
      <c r="AP51" s="224">
        <v>0</v>
      </c>
      <c r="AQ51" s="224">
        <v>0</v>
      </c>
      <c r="AR51" s="224">
        <v>0</v>
      </c>
      <c r="AS51" s="224">
        <v>0</v>
      </c>
      <c r="AT51" s="224">
        <v>0</v>
      </c>
      <c r="AU51" s="224">
        <v>0</v>
      </c>
      <c r="AV51" s="224">
        <v>0</v>
      </c>
      <c r="AW51" s="224">
        <v>0</v>
      </c>
      <c r="AX51" s="224">
        <v>0</v>
      </c>
      <c r="AY51" s="224">
        <v>0</v>
      </c>
      <c r="AZ51" s="224">
        <v>0</v>
      </c>
      <c r="BA51" s="224">
        <v>0</v>
      </c>
      <c r="BB51" s="224">
        <v>0</v>
      </c>
      <c r="BC51" s="224">
        <v>0</v>
      </c>
      <c r="BD51" s="224">
        <v>0</v>
      </c>
      <c r="BE51" s="224">
        <v>0</v>
      </c>
      <c r="BF51" s="224">
        <v>0</v>
      </c>
      <c r="BG51" s="224">
        <v>0</v>
      </c>
      <c r="BH51" s="224">
        <v>0</v>
      </c>
      <c r="BI51" s="224">
        <v>0</v>
      </c>
      <c r="BJ51" s="224">
        <v>0</v>
      </c>
      <c r="BK51" s="224">
        <v>0</v>
      </c>
      <c r="BL51" s="224">
        <v>0</v>
      </c>
      <c r="BM51" s="224">
        <v>0</v>
      </c>
      <c r="BN51" s="224">
        <v>0</v>
      </c>
      <c r="BO51" s="224">
        <v>0</v>
      </c>
      <c r="BP51" s="224">
        <v>0</v>
      </c>
      <c r="BQ51" s="224">
        <v>0</v>
      </c>
      <c r="BR51" s="224">
        <v>0</v>
      </c>
      <c r="BS51" s="224">
        <v>0</v>
      </c>
      <c r="BT51" s="224">
        <v>0</v>
      </c>
      <c r="BU51" s="224">
        <v>0</v>
      </c>
      <c r="BV51" s="224">
        <v>0</v>
      </c>
      <c r="BW51" s="224">
        <v>0</v>
      </c>
      <c r="BX51" s="224">
        <v>0</v>
      </c>
      <c r="BY51" s="224">
        <v>0</v>
      </c>
      <c r="BZ51" s="224">
        <v>0</v>
      </c>
      <c r="CA51" s="224">
        <v>0</v>
      </c>
      <c r="CB51" s="224">
        <v>0</v>
      </c>
      <c r="CC51" s="224">
        <v>0</v>
      </c>
      <c r="CD51" s="224">
        <v>0</v>
      </c>
      <c r="CE51" s="224">
        <v>0</v>
      </c>
      <c r="CF51" s="224">
        <v>0</v>
      </c>
      <c r="CG51" s="224">
        <v>0</v>
      </c>
      <c r="CH51" s="224">
        <v>0</v>
      </c>
      <c r="CI51" s="224">
        <v>0</v>
      </c>
      <c r="CJ51" s="224">
        <v>0</v>
      </c>
      <c r="CK51" s="224">
        <v>0</v>
      </c>
      <c r="CL51" s="224">
        <v>0</v>
      </c>
      <c r="CM51" s="224">
        <v>0</v>
      </c>
      <c r="CN51" s="224">
        <v>0</v>
      </c>
      <c r="CO51" s="224">
        <v>0</v>
      </c>
      <c r="CP51" s="224">
        <v>0</v>
      </c>
      <c r="CQ51" s="224">
        <v>0</v>
      </c>
      <c r="CR51" s="224">
        <v>0</v>
      </c>
      <c r="CS51" s="224">
        <v>0</v>
      </c>
      <c r="CT51" s="224">
        <v>0</v>
      </c>
      <c r="CU51" s="224">
        <v>0</v>
      </c>
      <c r="CV51" s="224">
        <v>0</v>
      </c>
      <c r="CW51" s="224">
        <v>0</v>
      </c>
      <c r="CX51" s="224">
        <v>0</v>
      </c>
      <c r="CY51" s="224">
        <v>0</v>
      </c>
      <c r="CZ51" s="224">
        <v>0</v>
      </c>
      <c r="DA51" s="224">
        <v>0</v>
      </c>
      <c r="DB51" s="224">
        <v>0</v>
      </c>
      <c r="DC51" s="224">
        <v>0</v>
      </c>
      <c r="DD51" s="224">
        <v>0</v>
      </c>
      <c r="DE51" s="224">
        <v>0</v>
      </c>
      <c r="DF51" s="224">
        <v>0</v>
      </c>
      <c r="DG51" s="224">
        <v>0</v>
      </c>
      <c r="DH51" s="224">
        <v>0</v>
      </c>
      <c r="DI51" s="224">
        <v>0</v>
      </c>
      <c r="DJ51" s="224">
        <v>0</v>
      </c>
      <c r="DK51" s="224">
        <v>0</v>
      </c>
      <c r="DL51" s="224">
        <v>0</v>
      </c>
      <c r="DM51" s="224">
        <v>0</v>
      </c>
      <c r="DN51" s="224">
        <v>0</v>
      </c>
      <c r="DO51" s="224">
        <v>0</v>
      </c>
      <c r="DP51" s="224">
        <v>0</v>
      </c>
      <c r="DQ51" s="224">
        <v>0</v>
      </c>
      <c r="DR51" s="224">
        <v>0</v>
      </c>
      <c r="DS51" s="224">
        <v>0</v>
      </c>
      <c r="DT51" s="224">
        <v>0</v>
      </c>
      <c r="DU51" s="224">
        <v>0</v>
      </c>
      <c r="DV51" s="224">
        <v>0</v>
      </c>
      <c r="DW51" s="224">
        <v>0</v>
      </c>
      <c r="DX51" s="224">
        <v>0</v>
      </c>
      <c r="DY51" s="224">
        <v>0</v>
      </c>
      <c r="DZ51" s="224">
        <v>0</v>
      </c>
      <c r="EA51" s="224">
        <v>0</v>
      </c>
      <c r="EB51" s="224">
        <v>0</v>
      </c>
      <c r="EC51" s="224">
        <v>0</v>
      </c>
      <c r="ED51" s="224">
        <v>0</v>
      </c>
      <c r="EE51" s="224">
        <v>0</v>
      </c>
      <c r="EF51" s="224">
        <v>0</v>
      </c>
      <c r="EG51" s="224">
        <v>0</v>
      </c>
      <c r="EH51" s="224">
        <v>0</v>
      </c>
      <c r="EI51" s="224">
        <v>0</v>
      </c>
      <c r="EJ51" s="224">
        <v>0</v>
      </c>
      <c r="EK51" s="224">
        <v>0</v>
      </c>
      <c r="EL51" s="224">
        <v>0</v>
      </c>
      <c r="EM51" s="224">
        <v>0</v>
      </c>
      <c r="EN51" s="224">
        <v>0</v>
      </c>
      <c r="EO51" s="224">
        <v>0</v>
      </c>
      <c r="EP51" s="224">
        <v>0</v>
      </c>
      <c r="EQ51" s="224">
        <v>0</v>
      </c>
      <c r="ER51" s="224">
        <v>0</v>
      </c>
      <c r="ES51" s="224">
        <v>0</v>
      </c>
      <c r="ET51" s="224">
        <v>0</v>
      </c>
      <c r="EU51" s="224">
        <v>0</v>
      </c>
      <c r="EV51" s="224">
        <v>0</v>
      </c>
      <c r="EW51" s="224">
        <v>0</v>
      </c>
      <c r="EX51" s="224">
        <v>0</v>
      </c>
      <c r="EY51" s="224">
        <v>0</v>
      </c>
      <c r="EZ51" s="224">
        <v>0</v>
      </c>
      <c r="FA51" s="224">
        <v>0</v>
      </c>
      <c r="FB51" s="224">
        <v>0</v>
      </c>
      <c r="FC51" s="224">
        <v>0</v>
      </c>
      <c r="FD51" s="224">
        <v>0</v>
      </c>
      <c r="FE51" s="224">
        <v>0</v>
      </c>
      <c r="FF51" s="224">
        <v>0</v>
      </c>
      <c r="FG51" s="224">
        <v>0</v>
      </c>
    </row>
    <row r="52" spans="2:163" x14ac:dyDescent="0.25">
      <c r="B52" s="223" t="s">
        <v>395</v>
      </c>
      <c r="C52" s="223" t="s">
        <v>395</v>
      </c>
      <c r="D52" s="223" t="s">
        <v>395</v>
      </c>
      <c r="E52" s="223">
        <v>0</v>
      </c>
      <c r="F52" s="223" t="s">
        <v>395</v>
      </c>
      <c r="G52" s="223" t="s">
        <v>395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24">
        <v>0</v>
      </c>
      <c r="T52" s="224">
        <v>0</v>
      </c>
      <c r="U52" s="224">
        <v>0</v>
      </c>
      <c r="V52" s="224">
        <v>0</v>
      </c>
      <c r="W52" s="224">
        <v>0</v>
      </c>
      <c r="X52" s="224">
        <v>0</v>
      </c>
      <c r="Y52" s="224">
        <v>0</v>
      </c>
      <c r="Z52" s="224">
        <v>0</v>
      </c>
      <c r="AA52" s="224">
        <v>0</v>
      </c>
      <c r="AB52" s="224">
        <v>0</v>
      </c>
      <c r="AC52" s="224">
        <v>0</v>
      </c>
      <c r="AD52" s="224">
        <v>0</v>
      </c>
      <c r="AE52" s="224">
        <v>0</v>
      </c>
      <c r="AF52" s="224">
        <v>0</v>
      </c>
      <c r="AG52" s="224">
        <v>0</v>
      </c>
      <c r="AH52" s="224">
        <v>0</v>
      </c>
      <c r="AI52" s="224">
        <v>0</v>
      </c>
      <c r="AJ52" s="224">
        <v>0</v>
      </c>
      <c r="AK52" s="224">
        <v>0</v>
      </c>
      <c r="AL52" s="224">
        <v>0</v>
      </c>
      <c r="AM52" s="224">
        <v>0</v>
      </c>
      <c r="AN52" s="224">
        <v>0</v>
      </c>
      <c r="AO52" s="224">
        <v>0</v>
      </c>
      <c r="AP52" s="224">
        <v>0</v>
      </c>
      <c r="AQ52" s="224">
        <v>0</v>
      </c>
      <c r="AR52" s="224">
        <v>0</v>
      </c>
      <c r="AS52" s="224">
        <v>0</v>
      </c>
      <c r="AT52" s="224">
        <v>0</v>
      </c>
      <c r="AU52" s="224">
        <v>0</v>
      </c>
      <c r="AV52" s="224">
        <v>0</v>
      </c>
      <c r="AW52" s="224">
        <v>0</v>
      </c>
      <c r="AX52" s="224">
        <v>0</v>
      </c>
      <c r="AY52" s="224">
        <v>0</v>
      </c>
      <c r="AZ52" s="224">
        <v>0</v>
      </c>
      <c r="BA52" s="224">
        <v>0</v>
      </c>
      <c r="BB52" s="224">
        <v>0</v>
      </c>
      <c r="BC52" s="224">
        <v>0</v>
      </c>
      <c r="BD52" s="224">
        <v>0</v>
      </c>
      <c r="BE52" s="224">
        <v>0</v>
      </c>
      <c r="BF52" s="224">
        <v>0</v>
      </c>
      <c r="BG52" s="224">
        <v>0</v>
      </c>
      <c r="BH52" s="224">
        <v>0</v>
      </c>
      <c r="BI52" s="224">
        <v>0</v>
      </c>
      <c r="BJ52" s="224">
        <v>0</v>
      </c>
      <c r="BK52" s="224">
        <v>0</v>
      </c>
      <c r="BL52" s="224">
        <v>0</v>
      </c>
      <c r="BM52" s="224">
        <v>0</v>
      </c>
      <c r="BN52" s="224">
        <v>0</v>
      </c>
      <c r="BO52" s="224">
        <v>0</v>
      </c>
      <c r="BP52" s="224">
        <v>0</v>
      </c>
      <c r="BQ52" s="224">
        <v>0</v>
      </c>
      <c r="BR52" s="224">
        <v>0</v>
      </c>
      <c r="BS52" s="224">
        <v>0</v>
      </c>
      <c r="BT52" s="224">
        <v>0</v>
      </c>
      <c r="BU52" s="224">
        <v>0</v>
      </c>
      <c r="BV52" s="224">
        <v>0</v>
      </c>
      <c r="BW52" s="224">
        <v>0</v>
      </c>
      <c r="BX52" s="224">
        <v>0</v>
      </c>
      <c r="BY52" s="224">
        <v>0</v>
      </c>
      <c r="BZ52" s="224">
        <v>0</v>
      </c>
      <c r="CA52" s="224">
        <v>0</v>
      </c>
      <c r="CB52" s="224">
        <v>0</v>
      </c>
      <c r="CC52" s="224">
        <v>0</v>
      </c>
      <c r="CD52" s="224">
        <v>0</v>
      </c>
      <c r="CE52" s="224">
        <v>0</v>
      </c>
      <c r="CF52" s="224">
        <v>0</v>
      </c>
      <c r="CG52" s="224">
        <v>0</v>
      </c>
      <c r="CH52" s="224">
        <v>0</v>
      </c>
      <c r="CI52" s="224">
        <v>0</v>
      </c>
      <c r="CJ52" s="224">
        <v>0</v>
      </c>
      <c r="CK52" s="224">
        <v>0</v>
      </c>
      <c r="CL52" s="224">
        <v>0</v>
      </c>
      <c r="CM52" s="224">
        <v>0</v>
      </c>
      <c r="CN52" s="224">
        <v>0</v>
      </c>
      <c r="CO52" s="224">
        <v>0</v>
      </c>
      <c r="CP52" s="224">
        <v>0</v>
      </c>
      <c r="CQ52" s="224">
        <v>0</v>
      </c>
      <c r="CR52" s="224">
        <v>0</v>
      </c>
      <c r="CS52" s="224">
        <v>0</v>
      </c>
      <c r="CT52" s="224">
        <v>0</v>
      </c>
      <c r="CU52" s="224">
        <v>0</v>
      </c>
      <c r="CV52" s="224">
        <v>0</v>
      </c>
      <c r="CW52" s="224">
        <v>0</v>
      </c>
      <c r="CX52" s="224">
        <v>0</v>
      </c>
      <c r="CY52" s="224">
        <v>0</v>
      </c>
      <c r="CZ52" s="224">
        <v>0</v>
      </c>
      <c r="DA52" s="224">
        <v>0</v>
      </c>
      <c r="DB52" s="224">
        <v>0</v>
      </c>
      <c r="DC52" s="224">
        <v>0</v>
      </c>
      <c r="DD52" s="224">
        <v>0</v>
      </c>
      <c r="DE52" s="224">
        <v>0</v>
      </c>
      <c r="DF52" s="224">
        <v>0</v>
      </c>
      <c r="DG52" s="224">
        <v>0</v>
      </c>
      <c r="DH52" s="224">
        <v>0</v>
      </c>
      <c r="DI52" s="224">
        <v>0</v>
      </c>
      <c r="DJ52" s="224">
        <v>0</v>
      </c>
      <c r="DK52" s="224">
        <v>0</v>
      </c>
      <c r="DL52" s="224">
        <v>0</v>
      </c>
      <c r="DM52" s="224">
        <v>0</v>
      </c>
      <c r="DN52" s="224">
        <v>0</v>
      </c>
      <c r="DO52" s="224">
        <v>0</v>
      </c>
      <c r="DP52" s="224">
        <v>0</v>
      </c>
      <c r="DQ52" s="224">
        <v>0</v>
      </c>
      <c r="DR52" s="224">
        <v>0</v>
      </c>
      <c r="DS52" s="224">
        <v>0</v>
      </c>
      <c r="DT52" s="224">
        <v>0</v>
      </c>
      <c r="DU52" s="224">
        <v>0</v>
      </c>
      <c r="DV52" s="224">
        <v>0</v>
      </c>
      <c r="DW52" s="224">
        <v>0</v>
      </c>
      <c r="DX52" s="224">
        <v>0</v>
      </c>
      <c r="DY52" s="224">
        <v>0</v>
      </c>
      <c r="DZ52" s="224">
        <v>0</v>
      </c>
      <c r="EA52" s="224">
        <v>0</v>
      </c>
      <c r="EB52" s="224">
        <v>0</v>
      </c>
      <c r="EC52" s="224">
        <v>0</v>
      </c>
      <c r="ED52" s="224">
        <v>0</v>
      </c>
      <c r="EE52" s="224">
        <v>0</v>
      </c>
      <c r="EF52" s="224">
        <v>0</v>
      </c>
      <c r="EG52" s="224">
        <v>0</v>
      </c>
      <c r="EH52" s="224">
        <v>0</v>
      </c>
      <c r="EI52" s="224">
        <v>0</v>
      </c>
      <c r="EJ52" s="224">
        <v>0</v>
      </c>
      <c r="EK52" s="224">
        <v>0</v>
      </c>
      <c r="EL52" s="224">
        <v>0</v>
      </c>
      <c r="EM52" s="224">
        <v>0</v>
      </c>
      <c r="EN52" s="224">
        <v>0</v>
      </c>
      <c r="EO52" s="224">
        <v>0</v>
      </c>
      <c r="EP52" s="224">
        <v>0</v>
      </c>
      <c r="EQ52" s="224">
        <v>0</v>
      </c>
      <c r="ER52" s="224">
        <v>0</v>
      </c>
      <c r="ES52" s="224">
        <v>0</v>
      </c>
      <c r="ET52" s="224">
        <v>0</v>
      </c>
      <c r="EU52" s="224">
        <v>0</v>
      </c>
      <c r="EV52" s="224">
        <v>0</v>
      </c>
      <c r="EW52" s="224">
        <v>0</v>
      </c>
      <c r="EX52" s="224">
        <v>0</v>
      </c>
      <c r="EY52" s="224">
        <v>0</v>
      </c>
      <c r="EZ52" s="224">
        <v>0</v>
      </c>
      <c r="FA52" s="224">
        <v>0</v>
      </c>
      <c r="FB52" s="224">
        <v>0</v>
      </c>
      <c r="FC52" s="224">
        <v>0</v>
      </c>
      <c r="FD52" s="224">
        <v>0</v>
      </c>
      <c r="FE52" s="224">
        <v>0</v>
      </c>
      <c r="FF52" s="224">
        <v>0</v>
      </c>
      <c r="FG52" s="224">
        <v>0</v>
      </c>
    </row>
    <row r="53" spans="2:163" x14ac:dyDescent="0.25">
      <c r="B53" s="223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4">
        <v>0</v>
      </c>
      <c r="N53" s="224">
        <v>0</v>
      </c>
      <c r="O53" s="224">
        <v>0</v>
      </c>
      <c r="P53" s="224">
        <v>0</v>
      </c>
      <c r="Q53" s="224">
        <v>0</v>
      </c>
      <c r="R53" s="224">
        <v>0</v>
      </c>
      <c r="S53" s="224">
        <v>0</v>
      </c>
      <c r="T53" s="224">
        <v>0</v>
      </c>
      <c r="U53" s="224">
        <v>0</v>
      </c>
      <c r="V53" s="224">
        <v>0</v>
      </c>
      <c r="W53" s="224">
        <v>0</v>
      </c>
      <c r="X53" s="224">
        <v>0</v>
      </c>
      <c r="Y53" s="224">
        <v>0</v>
      </c>
      <c r="Z53" s="224">
        <v>0</v>
      </c>
      <c r="AA53" s="224">
        <v>0</v>
      </c>
      <c r="AB53" s="224">
        <v>0</v>
      </c>
      <c r="AC53" s="224">
        <v>0</v>
      </c>
      <c r="AD53" s="224">
        <v>0</v>
      </c>
      <c r="AE53" s="224">
        <v>0</v>
      </c>
      <c r="AF53" s="224">
        <v>0</v>
      </c>
      <c r="AG53" s="224">
        <v>0</v>
      </c>
      <c r="AH53" s="224">
        <v>0</v>
      </c>
      <c r="AI53" s="224">
        <v>0</v>
      </c>
      <c r="AJ53" s="224">
        <v>0</v>
      </c>
      <c r="AK53" s="224">
        <v>0</v>
      </c>
      <c r="AL53" s="224">
        <v>0</v>
      </c>
      <c r="AM53" s="224">
        <v>0</v>
      </c>
      <c r="AN53" s="224">
        <v>0</v>
      </c>
      <c r="AO53" s="224">
        <v>0</v>
      </c>
      <c r="AP53" s="224">
        <v>0</v>
      </c>
      <c r="AQ53" s="224">
        <v>0</v>
      </c>
      <c r="AR53" s="224">
        <v>0</v>
      </c>
      <c r="AS53" s="224">
        <v>0</v>
      </c>
      <c r="AT53" s="224">
        <v>0</v>
      </c>
      <c r="AU53" s="224">
        <v>0</v>
      </c>
      <c r="AV53" s="224">
        <v>0</v>
      </c>
      <c r="AW53" s="224">
        <v>0</v>
      </c>
      <c r="AX53" s="224">
        <v>0</v>
      </c>
      <c r="AY53" s="224">
        <v>0</v>
      </c>
      <c r="AZ53" s="224">
        <v>0</v>
      </c>
      <c r="BA53" s="224">
        <v>0</v>
      </c>
      <c r="BB53" s="224">
        <v>0</v>
      </c>
      <c r="BC53" s="224">
        <v>0</v>
      </c>
      <c r="BD53" s="224">
        <v>0</v>
      </c>
      <c r="BE53" s="224">
        <v>0</v>
      </c>
      <c r="BF53" s="224">
        <v>0</v>
      </c>
      <c r="BG53" s="224">
        <v>0</v>
      </c>
      <c r="BH53" s="224">
        <v>0</v>
      </c>
      <c r="BI53" s="224">
        <v>0</v>
      </c>
      <c r="BJ53" s="224">
        <v>0</v>
      </c>
      <c r="BK53" s="224">
        <v>0</v>
      </c>
      <c r="BL53" s="224">
        <v>0</v>
      </c>
      <c r="BM53" s="224">
        <v>0</v>
      </c>
      <c r="BN53" s="224">
        <v>0</v>
      </c>
      <c r="BO53" s="224">
        <v>0</v>
      </c>
      <c r="BP53" s="224">
        <v>0</v>
      </c>
      <c r="BQ53" s="224">
        <v>0</v>
      </c>
      <c r="BR53" s="224">
        <v>0</v>
      </c>
      <c r="BS53" s="224">
        <v>0</v>
      </c>
      <c r="BT53" s="224">
        <v>0</v>
      </c>
      <c r="BU53" s="224">
        <v>0</v>
      </c>
      <c r="BV53" s="224">
        <v>0</v>
      </c>
      <c r="BW53" s="224">
        <v>0</v>
      </c>
      <c r="BX53" s="224">
        <v>0</v>
      </c>
      <c r="BY53" s="224">
        <v>0</v>
      </c>
      <c r="BZ53" s="224">
        <v>0</v>
      </c>
      <c r="CA53" s="224">
        <v>0</v>
      </c>
      <c r="CB53" s="224">
        <v>0</v>
      </c>
      <c r="CC53" s="224">
        <v>0</v>
      </c>
      <c r="CD53" s="224">
        <v>0</v>
      </c>
      <c r="CE53" s="224">
        <v>0</v>
      </c>
      <c r="CF53" s="224">
        <v>0</v>
      </c>
      <c r="CG53" s="224">
        <v>0</v>
      </c>
      <c r="CH53" s="224">
        <v>0</v>
      </c>
      <c r="CI53" s="224">
        <v>0</v>
      </c>
      <c r="CJ53" s="224">
        <v>0</v>
      </c>
      <c r="CK53" s="224">
        <v>0</v>
      </c>
      <c r="CL53" s="224">
        <v>0</v>
      </c>
      <c r="CM53" s="224">
        <v>0</v>
      </c>
      <c r="CN53" s="224">
        <v>0</v>
      </c>
      <c r="CO53" s="224">
        <v>0</v>
      </c>
      <c r="CP53" s="224">
        <v>0</v>
      </c>
      <c r="CQ53" s="224">
        <v>0</v>
      </c>
      <c r="CR53" s="224">
        <v>0</v>
      </c>
      <c r="CS53" s="224">
        <v>0</v>
      </c>
      <c r="CT53" s="224">
        <v>0</v>
      </c>
      <c r="CU53" s="224">
        <v>0</v>
      </c>
      <c r="CV53" s="224">
        <v>0</v>
      </c>
      <c r="CW53" s="224">
        <v>0</v>
      </c>
      <c r="CX53" s="224">
        <v>0</v>
      </c>
      <c r="CY53" s="224">
        <v>0</v>
      </c>
      <c r="CZ53" s="224">
        <v>0</v>
      </c>
      <c r="DA53" s="224">
        <v>0</v>
      </c>
      <c r="DB53" s="224">
        <v>0</v>
      </c>
      <c r="DC53" s="224">
        <v>0</v>
      </c>
      <c r="DD53" s="224">
        <v>0</v>
      </c>
      <c r="DE53" s="224">
        <v>0</v>
      </c>
      <c r="DF53" s="224">
        <v>0</v>
      </c>
      <c r="DG53" s="224">
        <v>0</v>
      </c>
      <c r="DH53" s="224">
        <v>0</v>
      </c>
      <c r="DI53" s="224">
        <v>0</v>
      </c>
      <c r="DJ53" s="224">
        <v>0</v>
      </c>
      <c r="DK53" s="224">
        <v>0</v>
      </c>
      <c r="DL53" s="224">
        <v>0</v>
      </c>
      <c r="DM53" s="224">
        <v>0</v>
      </c>
      <c r="DN53" s="224">
        <v>0</v>
      </c>
      <c r="DO53" s="224">
        <v>0</v>
      </c>
      <c r="DP53" s="224">
        <v>0</v>
      </c>
      <c r="DQ53" s="224">
        <v>0</v>
      </c>
      <c r="DR53" s="224">
        <v>0</v>
      </c>
      <c r="DS53" s="224">
        <v>0</v>
      </c>
      <c r="DT53" s="224">
        <v>0</v>
      </c>
      <c r="DU53" s="224">
        <v>0</v>
      </c>
      <c r="DV53" s="224">
        <v>0</v>
      </c>
      <c r="DW53" s="224">
        <v>0</v>
      </c>
      <c r="DX53" s="224">
        <v>0</v>
      </c>
      <c r="DY53" s="224">
        <v>0</v>
      </c>
      <c r="DZ53" s="224">
        <v>0</v>
      </c>
      <c r="EA53" s="224">
        <v>0</v>
      </c>
      <c r="EB53" s="224">
        <v>0</v>
      </c>
      <c r="EC53" s="224">
        <v>0</v>
      </c>
      <c r="ED53" s="224">
        <v>0</v>
      </c>
      <c r="EE53" s="224">
        <v>0</v>
      </c>
      <c r="EF53" s="224">
        <v>0</v>
      </c>
      <c r="EG53" s="224">
        <v>0</v>
      </c>
      <c r="EH53" s="224">
        <v>0</v>
      </c>
      <c r="EI53" s="224">
        <v>0</v>
      </c>
      <c r="EJ53" s="224">
        <v>0</v>
      </c>
      <c r="EK53" s="224">
        <v>0</v>
      </c>
      <c r="EL53" s="224">
        <v>0</v>
      </c>
      <c r="EM53" s="224">
        <v>0</v>
      </c>
      <c r="EN53" s="224">
        <v>0</v>
      </c>
      <c r="EO53" s="224">
        <v>0</v>
      </c>
      <c r="EP53" s="224">
        <v>0</v>
      </c>
      <c r="EQ53" s="224">
        <v>0</v>
      </c>
      <c r="ER53" s="224">
        <v>0</v>
      </c>
      <c r="ES53" s="224">
        <v>0</v>
      </c>
      <c r="ET53" s="224">
        <v>0</v>
      </c>
      <c r="EU53" s="224">
        <v>0</v>
      </c>
      <c r="EV53" s="224">
        <v>0</v>
      </c>
      <c r="EW53" s="224">
        <v>0</v>
      </c>
      <c r="EX53" s="224">
        <v>0</v>
      </c>
      <c r="EY53" s="224">
        <v>0</v>
      </c>
      <c r="EZ53" s="224">
        <v>0</v>
      </c>
      <c r="FA53" s="224">
        <v>0</v>
      </c>
      <c r="FB53" s="224">
        <v>0</v>
      </c>
      <c r="FC53" s="224">
        <v>0</v>
      </c>
      <c r="FD53" s="224">
        <v>0</v>
      </c>
      <c r="FE53" s="224">
        <v>0</v>
      </c>
      <c r="FF53" s="224">
        <v>0</v>
      </c>
      <c r="FG53" s="224">
        <v>0</v>
      </c>
    </row>
    <row r="54" spans="2:163" s="233" customFormat="1" ht="12.75" x14ac:dyDescent="0.2">
      <c r="B54" s="240">
        <v>0</v>
      </c>
      <c r="C54" s="240">
        <v>0</v>
      </c>
      <c r="D54" s="240">
        <v>0</v>
      </c>
      <c r="E54" s="240">
        <v>0</v>
      </c>
      <c r="F54" s="240">
        <v>0</v>
      </c>
      <c r="G54" s="252" t="s">
        <v>340</v>
      </c>
      <c r="H54" s="253">
        <f>SUM(H9:H53)</f>
        <v>2746583.6020700559</v>
      </c>
      <c r="I54" s="253">
        <f t="shared" ref="I54:BN54" si="0">SUM(I9:I53)</f>
        <v>5447390.8107722783</v>
      </c>
      <c r="J54" s="253">
        <f t="shared" si="0"/>
        <v>8102421.6261066664</v>
      </c>
      <c r="K54" s="253">
        <f t="shared" si="0"/>
        <v>10711676.048073221</v>
      </c>
      <c r="L54" s="253">
        <f t="shared" si="0"/>
        <v>13275154.076671937</v>
      </c>
      <c r="M54" s="253">
        <f t="shared" si="0"/>
        <v>15792855.71190282</v>
      </c>
      <c r="N54" s="253">
        <f t="shared" si="0"/>
        <v>18264780.953765877</v>
      </c>
      <c r="O54" s="253">
        <f t="shared" si="0"/>
        <v>20690929.802261095</v>
      </c>
      <c r="P54" s="253">
        <f t="shared" si="0"/>
        <v>23071302.257388469</v>
      </c>
      <c r="Q54" s="253">
        <f t="shared" si="0"/>
        <v>25405898.319148023</v>
      </c>
      <c r="R54" s="253">
        <f t="shared" si="0"/>
        <v>27694717.987539738</v>
      </c>
      <c r="S54" s="253">
        <f t="shared" si="0"/>
        <v>29937761.262563609</v>
      </c>
      <c r="T54" s="253">
        <f t="shared" si="0"/>
        <v>35343505.649973646</v>
      </c>
      <c r="U54" s="253">
        <f t="shared" si="0"/>
        <v>40649999.01891996</v>
      </c>
      <c r="V54" s="253">
        <f t="shared" si="0"/>
        <v>45857241.36940252</v>
      </c>
      <c r="W54" s="253">
        <f t="shared" si="0"/>
        <v>50965232.70142138</v>
      </c>
      <c r="X54" s="253">
        <f t="shared" si="0"/>
        <v>55973973.014976479</v>
      </c>
      <c r="Y54" s="253">
        <f t="shared" si="0"/>
        <v>60883462.310067855</v>
      </c>
      <c r="Z54" s="253">
        <f t="shared" si="0"/>
        <v>65693700.586695477</v>
      </c>
      <c r="AA54" s="253">
        <f t="shared" si="0"/>
        <v>70404687.844859391</v>
      </c>
      <c r="AB54" s="253">
        <f t="shared" si="0"/>
        <v>75016424.084559545</v>
      </c>
      <c r="AC54" s="253">
        <f t="shared" si="0"/>
        <v>79528909.305795968</v>
      </c>
      <c r="AD54" s="253">
        <f t="shared" si="0"/>
        <v>83942143.508568674</v>
      </c>
      <c r="AE54" s="253">
        <f t="shared" si="0"/>
        <v>88256126.69287762</v>
      </c>
      <c r="AF54" s="253">
        <f t="shared" si="0"/>
        <v>92538154.623584479</v>
      </c>
      <c r="AG54" s="253">
        <f t="shared" si="0"/>
        <v>96719809.939746633</v>
      </c>
      <c r="AH54" s="253">
        <f t="shared" si="0"/>
        <v>100801092.64136399</v>
      </c>
      <c r="AI54" s="253">
        <f t="shared" si="0"/>
        <v>104782002.72843657</v>
      </c>
      <c r="AJ54" s="253">
        <f t="shared" si="0"/>
        <v>108662540.20096441</v>
      </c>
      <c r="AK54" s="253">
        <f t="shared" si="0"/>
        <v>112442705.0589475</v>
      </c>
      <c r="AL54" s="253">
        <f t="shared" si="0"/>
        <v>116122497.30238578</v>
      </c>
      <c r="AM54" s="253">
        <f t="shared" si="0"/>
        <v>119701916.93127936</v>
      </c>
      <c r="AN54" s="253">
        <f t="shared" si="0"/>
        <v>123180963.94562811</v>
      </c>
      <c r="AO54" s="253">
        <f t="shared" si="0"/>
        <v>126559638.34543218</v>
      </c>
      <c r="AP54" s="253">
        <f t="shared" si="0"/>
        <v>129837940.13069142</v>
      </c>
      <c r="AQ54" s="253">
        <f t="shared" si="0"/>
        <v>133015869.30140594</v>
      </c>
      <c r="AR54" s="253">
        <f t="shared" si="0"/>
        <v>130071068.98488998</v>
      </c>
      <c r="AS54" s="253">
        <f t="shared" si="0"/>
        <v>127126268.66837403</v>
      </c>
      <c r="AT54" s="253">
        <f t="shared" si="0"/>
        <v>124181468.35185806</v>
      </c>
      <c r="AU54" s="253">
        <f t="shared" si="0"/>
        <v>121236668.03534207</v>
      </c>
      <c r="AV54" s="253">
        <f t="shared" si="0"/>
        <v>118291867.71882612</v>
      </c>
      <c r="AW54" s="253">
        <f t="shared" si="0"/>
        <v>115347067.40231016</v>
      </c>
      <c r="AX54" s="253">
        <f t="shared" si="0"/>
        <v>112402267.08579418</v>
      </c>
      <c r="AY54" s="253">
        <f t="shared" si="0"/>
        <v>109457466.76927823</v>
      </c>
      <c r="AZ54" s="253">
        <f t="shared" si="0"/>
        <v>106512666.45276225</v>
      </c>
      <c r="BA54" s="253">
        <f t="shared" si="0"/>
        <v>103567866.13624634</v>
      </c>
      <c r="BB54" s="253">
        <f t="shared" si="0"/>
        <v>100623065.81973036</v>
      </c>
      <c r="BC54" s="253">
        <f t="shared" si="0"/>
        <v>97678265.503214389</v>
      </c>
      <c r="BD54" s="253">
        <f t="shared" si="0"/>
        <v>94733465.186698422</v>
      </c>
      <c r="BE54" s="253">
        <f t="shared" si="0"/>
        <v>91788664.870182484</v>
      </c>
      <c r="BF54" s="253">
        <f t="shared" si="0"/>
        <v>88843864.553666487</v>
      </c>
      <c r="BG54" s="253">
        <f t="shared" si="0"/>
        <v>85899064.237150535</v>
      </c>
      <c r="BH54" s="253">
        <f t="shared" si="0"/>
        <v>82954263.920634598</v>
      </c>
      <c r="BI54" s="253">
        <f t="shared" si="0"/>
        <v>80009463.604118586</v>
      </c>
      <c r="BJ54" s="253">
        <f t="shared" si="0"/>
        <v>77064663.287602633</v>
      </c>
      <c r="BK54" s="253">
        <f t="shared" si="0"/>
        <v>74119862.971086681</v>
      </c>
      <c r="BL54" s="253">
        <f t="shared" si="0"/>
        <v>71175062.654570729</v>
      </c>
      <c r="BM54" s="253">
        <f t="shared" si="0"/>
        <v>68230262.338054761</v>
      </c>
      <c r="BN54" s="253">
        <f t="shared" si="0"/>
        <v>65285462.021538801</v>
      </c>
      <c r="BO54" s="253">
        <f>SUM(BO9:BO53)</f>
        <v>62340661.705022834</v>
      </c>
      <c r="BP54" s="253">
        <f t="shared" ref="BP54:CZ54" si="1">SUM(BP9:BP53)</f>
        <v>59395861.388506867</v>
      </c>
      <c r="BQ54" s="253">
        <f t="shared" si="1"/>
        <v>56496837.465358742</v>
      </c>
      <c r="BR54" s="253">
        <f t="shared" si="1"/>
        <v>53643589.935578451</v>
      </c>
      <c r="BS54" s="253">
        <f t="shared" si="1"/>
        <v>50836118.799165986</v>
      </c>
      <c r="BT54" s="253">
        <f t="shared" si="1"/>
        <v>48074424.056121379</v>
      </c>
      <c r="BU54" s="253">
        <f t="shared" si="1"/>
        <v>45358505.706444569</v>
      </c>
      <c r="BV54" s="253">
        <f t="shared" si="1"/>
        <v>42688363.750135615</v>
      </c>
      <c r="BW54" s="253">
        <f t="shared" si="1"/>
        <v>40063998.187194496</v>
      </c>
      <c r="BX54" s="253">
        <f t="shared" si="1"/>
        <v>37485409.017621197</v>
      </c>
      <c r="BY54" s="253">
        <f t="shared" si="1"/>
        <v>34952596.241415747</v>
      </c>
      <c r="BZ54" s="253">
        <f t="shared" si="1"/>
        <v>32465559.858578134</v>
      </c>
      <c r="CA54" s="253">
        <f t="shared" si="1"/>
        <v>30024299.869108349</v>
      </c>
      <c r="CB54" s="253">
        <f t="shared" si="1"/>
        <v>27628816.273006398</v>
      </c>
      <c r="CC54" s="253">
        <f t="shared" si="1"/>
        <v>25332583.695368174</v>
      </c>
      <c r="CD54" s="253">
        <f t="shared" si="1"/>
        <v>23135602.136193685</v>
      </c>
      <c r="CE54" s="253">
        <f t="shared" si="1"/>
        <v>21037871.595482945</v>
      </c>
      <c r="CF54" s="253">
        <f t="shared" si="1"/>
        <v>19039392.073235936</v>
      </c>
      <c r="CG54" s="253">
        <f t="shared" si="1"/>
        <v>17140163.569452651</v>
      </c>
      <c r="CH54" s="253">
        <f t="shared" si="1"/>
        <v>15340186.084133107</v>
      </c>
      <c r="CI54" s="253">
        <f t="shared" si="1"/>
        <v>13639459.617277291</v>
      </c>
      <c r="CJ54" s="253">
        <f t="shared" si="1"/>
        <v>12037984.168885214</v>
      </c>
      <c r="CK54" s="253">
        <f t="shared" si="1"/>
        <v>10535759.738956872</v>
      </c>
      <c r="CL54" s="253">
        <f t="shared" si="1"/>
        <v>9132786.327492265</v>
      </c>
      <c r="CM54" s="253">
        <f t="shared" si="1"/>
        <v>7829063.9344913885</v>
      </c>
      <c r="CN54" s="253">
        <f t="shared" si="1"/>
        <v>6624592.5599542465</v>
      </c>
      <c r="CO54" s="253">
        <f t="shared" si="1"/>
        <v>5520493.7999618649</v>
      </c>
      <c r="CP54" s="253">
        <f t="shared" si="1"/>
        <v>4516767.6545142494</v>
      </c>
      <c r="CQ54" s="253">
        <f t="shared" si="1"/>
        <v>3613414.1236113948</v>
      </c>
      <c r="CR54" s="253">
        <f t="shared" si="1"/>
        <v>2810433.2072533001</v>
      </c>
      <c r="CS54" s="253">
        <f t="shared" si="1"/>
        <v>2107824.9054399678</v>
      </c>
      <c r="CT54" s="253">
        <f t="shared" si="1"/>
        <v>1505589.2181713977</v>
      </c>
      <c r="CU54" s="253">
        <f t="shared" si="1"/>
        <v>1003726.1454475888</v>
      </c>
      <c r="CV54" s="253">
        <f t="shared" si="1"/>
        <v>602235.68726854166</v>
      </c>
      <c r="CW54" s="253">
        <f t="shared" si="1"/>
        <v>301117.84363425645</v>
      </c>
      <c r="CX54" s="253">
        <f t="shared" si="1"/>
        <v>100372.61454473298</v>
      </c>
      <c r="CY54" s="253">
        <f t="shared" si="1"/>
        <v>-2.8764648440926521E-8</v>
      </c>
      <c r="CZ54" s="253">
        <f t="shared" si="1"/>
        <v>-2.8764648440926521E-8</v>
      </c>
    </row>
  </sheetData>
  <mergeCells count="13">
    <mergeCell ref="N5:P5"/>
    <mergeCell ref="H6:J6"/>
    <mergeCell ref="K6:M6"/>
    <mergeCell ref="H1:J1"/>
    <mergeCell ref="K1:M1"/>
    <mergeCell ref="H2:J2"/>
    <mergeCell ref="K2:M2"/>
    <mergeCell ref="H3:J3"/>
    <mergeCell ref="K3:M3"/>
    <mergeCell ref="H4:J4"/>
    <mergeCell ref="K4:M4"/>
    <mergeCell ref="H5:J5"/>
    <mergeCell ref="K5:M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3B40C-5901-42DA-BE22-4DAE89F911E3}">
  <sheetPr>
    <tabColor rgb="FF00FF00"/>
  </sheetPr>
  <dimension ref="A1:AK143"/>
  <sheetViews>
    <sheetView workbookViewId="0">
      <selection activeCell="AG42" sqref="AG42:AG53"/>
    </sheetView>
  </sheetViews>
  <sheetFormatPr defaultRowHeight="15" x14ac:dyDescent="0.25"/>
  <cols>
    <col min="1" max="1" width="8.42578125" customWidth="1"/>
    <col min="2" max="2" width="15.85546875" customWidth="1"/>
    <col min="3" max="29" width="11.28515625" hidden="1" customWidth="1"/>
    <col min="30" max="32" width="11.28515625" customWidth="1"/>
    <col min="33" max="33" width="13.7109375" customWidth="1"/>
    <col min="34" max="35" width="14.5703125" bestFit="1" customWidth="1"/>
    <col min="36" max="36" width="12" bestFit="1" customWidth="1"/>
  </cols>
  <sheetData>
    <row r="1" spans="1:33" ht="15.75" thickBot="1" x14ac:dyDescent="0.3">
      <c r="A1" s="563" t="s">
        <v>127</v>
      </c>
      <c r="B1" s="562" t="s">
        <v>128</v>
      </c>
      <c r="C1" s="562" t="s">
        <v>96</v>
      </c>
      <c r="D1" s="562"/>
      <c r="E1" s="562"/>
      <c r="F1" s="562"/>
      <c r="G1" s="562"/>
      <c r="H1" s="562"/>
      <c r="I1" s="562" t="s">
        <v>97</v>
      </c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 t="s">
        <v>98</v>
      </c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69" t="s">
        <v>121</v>
      </c>
      <c r="AG1" s="562" t="s">
        <v>15</v>
      </c>
    </row>
    <row r="2" spans="1:33" ht="15.75" thickBot="1" x14ac:dyDescent="0.3">
      <c r="A2" s="563"/>
      <c r="B2" s="562"/>
      <c r="C2" s="69" t="s">
        <v>113</v>
      </c>
      <c r="D2" s="69" t="s">
        <v>114</v>
      </c>
      <c r="E2" s="69" t="s">
        <v>115</v>
      </c>
      <c r="F2" s="69" t="s">
        <v>116</v>
      </c>
      <c r="G2" s="69" t="s">
        <v>117</v>
      </c>
      <c r="H2" s="69" t="s">
        <v>100</v>
      </c>
      <c r="I2" s="69" t="s">
        <v>104</v>
      </c>
      <c r="J2" s="69" t="s">
        <v>102</v>
      </c>
      <c r="K2" s="69" t="s">
        <v>106</v>
      </c>
      <c r="L2" s="69" t="s">
        <v>107</v>
      </c>
      <c r="M2" s="69" t="s">
        <v>105</v>
      </c>
      <c r="N2" s="69" t="s">
        <v>103</v>
      </c>
      <c r="O2" s="69" t="s">
        <v>108</v>
      </c>
      <c r="P2" s="69" t="s">
        <v>109</v>
      </c>
      <c r="Q2" s="69" t="s">
        <v>110</v>
      </c>
      <c r="R2" s="69" t="s">
        <v>111</v>
      </c>
      <c r="S2" s="69" t="s">
        <v>100</v>
      </c>
      <c r="T2" s="69" t="s">
        <v>104</v>
      </c>
      <c r="U2" s="69" t="s">
        <v>102</v>
      </c>
      <c r="V2" s="69" t="s">
        <v>106</v>
      </c>
      <c r="W2" s="69" t="s">
        <v>107</v>
      </c>
      <c r="X2" s="69" t="s">
        <v>105</v>
      </c>
      <c r="Y2" s="69" t="s">
        <v>103</v>
      </c>
      <c r="Z2" s="69" t="s">
        <v>108</v>
      </c>
      <c r="AA2" s="69" t="s">
        <v>109</v>
      </c>
      <c r="AB2" s="69" t="s">
        <v>110</v>
      </c>
      <c r="AC2" s="69" t="s">
        <v>111</v>
      </c>
      <c r="AD2" s="69" t="s">
        <v>112</v>
      </c>
      <c r="AE2" s="69" t="s">
        <v>100</v>
      </c>
      <c r="AF2" s="69" t="s">
        <v>101</v>
      </c>
      <c r="AG2" s="562"/>
    </row>
    <row r="3" spans="1:33" x14ac:dyDescent="0.25">
      <c r="A3" s="255" t="s">
        <v>99</v>
      </c>
      <c r="B3" s="255" t="s">
        <v>129</v>
      </c>
      <c r="C3" s="256">
        <v>541295899.09084761</v>
      </c>
      <c r="D3" s="256">
        <v>84626646.379007578</v>
      </c>
      <c r="E3" s="256">
        <v>1199193.3295518828</v>
      </c>
      <c r="F3" s="256">
        <v>7884920.9427015847</v>
      </c>
      <c r="G3" s="256">
        <v>6107403.7121199789</v>
      </c>
      <c r="H3" s="256">
        <v>88443.545771348712</v>
      </c>
      <c r="I3" s="256">
        <v>476065385.63033241</v>
      </c>
      <c r="J3" s="256">
        <v>81286154.714207992</v>
      </c>
      <c r="K3" s="256">
        <v>30414849.422883518</v>
      </c>
      <c r="L3" s="256">
        <v>394103.23898972827</v>
      </c>
      <c r="M3" s="256">
        <v>9939838.2078696284</v>
      </c>
      <c r="N3" s="256">
        <v>104922.87135098832</v>
      </c>
      <c r="O3" s="256">
        <v>54699995.634638883</v>
      </c>
      <c r="P3" s="256">
        <v>972312.0140109607</v>
      </c>
      <c r="Q3" s="256">
        <v>7433411.5992039116</v>
      </c>
      <c r="R3" s="256">
        <v>476408.84199761349</v>
      </c>
      <c r="S3" s="256">
        <v>2177209.8245143774</v>
      </c>
      <c r="T3" s="256">
        <v>27481672.203645874</v>
      </c>
      <c r="U3" s="256">
        <v>39952082.360595867</v>
      </c>
      <c r="V3" s="256">
        <v>4374259.5582172303</v>
      </c>
      <c r="W3" s="256">
        <v>601420.80537887604</v>
      </c>
      <c r="X3" s="256">
        <v>1020367.8587447314</v>
      </c>
      <c r="Y3" s="256">
        <v>842313.67998197454</v>
      </c>
      <c r="Z3" s="256">
        <v>43652768.106418118</v>
      </c>
      <c r="AA3" s="256">
        <v>8830192.9448272344</v>
      </c>
      <c r="AB3" s="256">
        <v>3890397.2342130286</v>
      </c>
      <c r="AC3" s="256">
        <v>1998975.4031277574</v>
      </c>
      <c r="AD3" s="256">
        <v>19290623.625454664</v>
      </c>
      <c r="AE3" s="256">
        <v>65626.219394667307</v>
      </c>
      <c r="AF3" s="256">
        <v>8976676.2227656357</v>
      </c>
      <c r="AG3" s="256">
        <v>1466144475.2227657</v>
      </c>
    </row>
    <row r="4" spans="1:33" x14ac:dyDescent="0.25">
      <c r="A4" s="255" t="s">
        <v>99</v>
      </c>
      <c r="B4" s="255" t="s">
        <v>130</v>
      </c>
      <c r="C4" s="256">
        <v>503009063.83171749</v>
      </c>
      <c r="D4" s="256">
        <v>62771466.388591237</v>
      </c>
      <c r="E4" s="256">
        <v>916659.23676945828</v>
      </c>
      <c r="F4" s="256">
        <v>6884224.270758193</v>
      </c>
      <c r="G4" s="256">
        <v>4478284.2837123973</v>
      </c>
      <c r="H4" s="256">
        <v>88443.98845123309</v>
      </c>
      <c r="I4" s="256">
        <v>452511158.31842589</v>
      </c>
      <c r="J4" s="256">
        <v>79374088.620464861</v>
      </c>
      <c r="K4" s="256">
        <v>28176213.653192054</v>
      </c>
      <c r="L4" s="256">
        <v>390367.87178839749</v>
      </c>
      <c r="M4" s="256">
        <v>9303960.8666229881</v>
      </c>
      <c r="N4" s="256">
        <v>94758.037364003918</v>
      </c>
      <c r="O4" s="256">
        <v>52336684.309029922</v>
      </c>
      <c r="P4" s="256">
        <v>694932.7999616788</v>
      </c>
      <c r="Q4" s="256">
        <v>6818119.2342591118</v>
      </c>
      <c r="R4" s="256">
        <v>2533143.8289177073</v>
      </c>
      <c r="S4" s="256">
        <v>2176861.4599735127</v>
      </c>
      <c r="T4" s="256">
        <v>26458542.678916641</v>
      </c>
      <c r="U4" s="256">
        <v>40681272.189933129</v>
      </c>
      <c r="V4" s="256">
        <v>4429269.07360142</v>
      </c>
      <c r="W4" s="256">
        <v>706857.16488982376</v>
      </c>
      <c r="X4" s="256">
        <v>2130061.0320914569</v>
      </c>
      <c r="Y4" s="256">
        <v>1065793.9383221644</v>
      </c>
      <c r="Z4" s="256">
        <v>45678199.951524012</v>
      </c>
      <c r="AA4" s="256">
        <v>4915049.1227510665</v>
      </c>
      <c r="AB4" s="256">
        <v>4154942.7208491471</v>
      </c>
      <c r="AC4" s="256">
        <v>1906627.2007745062</v>
      </c>
      <c r="AD4" s="256">
        <v>17834344.387648713</v>
      </c>
      <c r="AE4" s="256">
        <v>65607.538697899712</v>
      </c>
      <c r="AF4" s="256">
        <v>8981571.1677547488</v>
      </c>
      <c r="AG4" s="256">
        <v>1371566569.1677544</v>
      </c>
    </row>
    <row r="5" spans="1:33" x14ac:dyDescent="0.25">
      <c r="A5" s="255" t="s">
        <v>99</v>
      </c>
      <c r="B5" s="255" t="s">
        <v>131</v>
      </c>
      <c r="C5" s="256">
        <v>707553046.97805512</v>
      </c>
      <c r="D5" s="256">
        <v>54278749.083120272</v>
      </c>
      <c r="E5" s="256">
        <v>965066.87286335242</v>
      </c>
      <c r="F5" s="256">
        <v>8180946.8796313843</v>
      </c>
      <c r="G5" s="256">
        <v>3849426.6756760422</v>
      </c>
      <c r="H5" s="256">
        <v>88433.510653898426</v>
      </c>
      <c r="I5" s="256">
        <v>490710992.43897647</v>
      </c>
      <c r="J5" s="256">
        <v>90619098.752715841</v>
      </c>
      <c r="K5" s="256">
        <v>31819998.697739132</v>
      </c>
      <c r="L5" s="256">
        <v>442282.94910514902</v>
      </c>
      <c r="M5" s="256">
        <v>9502569.4148734137</v>
      </c>
      <c r="N5" s="256">
        <v>111877.60602854767</v>
      </c>
      <c r="O5" s="256">
        <v>58402068.150554508</v>
      </c>
      <c r="P5" s="256">
        <v>1899473.386924386</v>
      </c>
      <c r="Q5" s="256">
        <v>7818371.232903</v>
      </c>
      <c r="R5" s="256">
        <v>795148.22425440932</v>
      </c>
      <c r="S5" s="256">
        <v>2176182.1459251861</v>
      </c>
      <c r="T5" s="256">
        <v>25102505.903048333</v>
      </c>
      <c r="U5" s="256">
        <v>41536295.22608529</v>
      </c>
      <c r="V5" s="256">
        <v>4669834.8853831943</v>
      </c>
      <c r="W5" s="256">
        <v>457090.42030549014</v>
      </c>
      <c r="X5" s="256">
        <v>2066094.2406991546</v>
      </c>
      <c r="Y5" s="256">
        <v>1140735.7816433653</v>
      </c>
      <c r="Z5" s="256">
        <v>47176630.553319432</v>
      </c>
      <c r="AA5" s="256">
        <v>13093314.78829075</v>
      </c>
      <c r="AB5" s="256">
        <v>3738793.6675003576</v>
      </c>
      <c r="AC5" s="256">
        <v>1893132.5416494773</v>
      </c>
      <c r="AD5" s="256">
        <v>16848475.398929611</v>
      </c>
      <c r="AE5" s="256">
        <v>65578.593145534673</v>
      </c>
      <c r="AF5" s="256">
        <v>8985641.3937711082</v>
      </c>
      <c r="AG5" s="256">
        <v>1635987856.3937709</v>
      </c>
    </row>
    <row r="6" spans="1:33" x14ac:dyDescent="0.25">
      <c r="A6" s="255" t="s">
        <v>99</v>
      </c>
      <c r="B6" s="255" t="s">
        <v>132</v>
      </c>
      <c r="C6" s="256">
        <v>1028128193.9104887</v>
      </c>
      <c r="D6" s="256">
        <v>66118581.267462008</v>
      </c>
      <c r="E6" s="256">
        <v>1180214.4892635471</v>
      </c>
      <c r="F6" s="256">
        <v>10917052.068032973</v>
      </c>
      <c r="G6" s="256">
        <v>4313284.9766245354</v>
      </c>
      <c r="H6" s="256">
        <v>88411.288128207845</v>
      </c>
      <c r="I6" s="256">
        <v>564900622.20304585</v>
      </c>
      <c r="J6" s="256">
        <v>104828018.03124559</v>
      </c>
      <c r="K6" s="256">
        <v>36004017.080686644</v>
      </c>
      <c r="L6" s="256">
        <v>558409.66026421881</v>
      </c>
      <c r="M6" s="256">
        <v>11857563.838419981</v>
      </c>
      <c r="N6" s="256">
        <v>137994.49456381466</v>
      </c>
      <c r="O6" s="256">
        <v>70665682.819132656</v>
      </c>
      <c r="P6" s="256">
        <v>1191744.8896711692</v>
      </c>
      <c r="Q6" s="256">
        <v>9432135.2974068075</v>
      </c>
      <c r="R6" s="256">
        <v>790074.45393006457</v>
      </c>
      <c r="S6" s="256">
        <v>2175173.2316332581</v>
      </c>
      <c r="T6" s="256">
        <v>27641145.612226069</v>
      </c>
      <c r="U6" s="256">
        <v>48549772.472722396</v>
      </c>
      <c r="V6" s="256">
        <v>4357972.2592616025</v>
      </c>
      <c r="W6" s="256">
        <v>-52548.090636951216</v>
      </c>
      <c r="X6" s="256">
        <v>2430657.9366484755</v>
      </c>
      <c r="Y6" s="256">
        <v>1460023.9118981631</v>
      </c>
      <c r="Z6" s="256">
        <v>49522573.583125137</v>
      </c>
      <c r="AA6" s="256">
        <v>9312966.2964333035</v>
      </c>
      <c r="AB6" s="256">
        <v>3748197.6648424049</v>
      </c>
      <c r="AC6" s="256">
        <v>2153660.888682209</v>
      </c>
      <c r="AD6" s="256">
        <v>17163274.173179466</v>
      </c>
      <c r="AE6" s="256">
        <v>65543.291617733223</v>
      </c>
      <c r="AF6" s="256">
        <v>8988816.9674965441</v>
      </c>
      <c r="AG6" s="256">
        <v>2088629230.9674954</v>
      </c>
    </row>
    <row r="7" spans="1:33" x14ac:dyDescent="0.25">
      <c r="A7" s="255" t="s">
        <v>99</v>
      </c>
      <c r="B7" s="255" t="s">
        <v>133</v>
      </c>
      <c r="C7" s="256">
        <v>1122853681.4010963</v>
      </c>
      <c r="D7" s="256">
        <v>71689488.252220571</v>
      </c>
      <c r="E7" s="256">
        <v>1137482.3331799374</v>
      </c>
      <c r="F7" s="256">
        <v>11648519.556449994</v>
      </c>
      <c r="G7" s="256">
        <v>4563998.1109148236</v>
      </c>
      <c r="H7" s="256">
        <v>88376.346138129098</v>
      </c>
      <c r="I7" s="256">
        <v>593424728.19543958</v>
      </c>
      <c r="J7" s="256">
        <v>102887090.70708531</v>
      </c>
      <c r="K7" s="256">
        <v>36751138.687878631</v>
      </c>
      <c r="L7" s="256">
        <v>494222.91136388609</v>
      </c>
      <c r="M7" s="256">
        <v>11499696.700972168</v>
      </c>
      <c r="N7" s="256">
        <v>153575.26235650547</v>
      </c>
      <c r="O7" s="256">
        <v>66605561.636282377</v>
      </c>
      <c r="P7" s="256">
        <v>804992.72964258667</v>
      </c>
      <c r="Q7" s="256">
        <v>10561602.498584859</v>
      </c>
      <c r="R7" s="256">
        <v>976741.15872188169</v>
      </c>
      <c r="S7" s="256">
        <v>2173801.5116723017</v>
      </c>
      <c r="T7" s="256">
        <v>28389656.605159797</v>
      </c>
      <c r="U7" s="256">
        <v>48246590.173199676</v>
      </c>
      <c r="V7" s="256">
        <v>5160132.1541083166</v>
      </c>
      <c r="W7" s="256">
        <v>1236837.9787693073</v>
      </c>
      <c r="X7" s="256">
        <v>2404548.0751260854</v>
      </c>
      <c r="Y7" s="256">
        <v>3043677.103474156</v>
      </c>
      <c r="Z7" s="256">
        <v>51633649.317164302</v>
      </c>
      <c r="AA7" s="256">
        <v>9531623.3656094018</v>
      </c>
      <c r="AB7" s="256">
        <v>5366456.925634997</v>
      </c>
      <c r="AC7" s="256">
        <v>2095181.0016903456</v>
      </c>
      <c r="AD7" s="256">
        <v>19037909.873040996</v>
      </c>
      <c r="AE7" s="256">
        <v>65501.427022605283</v>
      </c>
      <c r="AF7" s="256">
        <v>8991022.4790536407</v>
      </c>
      <c r="AG7" s="256">
        <v>2223517484.479053</v>
      </c>
    </row>
    <row r="8" spans="1:33" x14ac:dyDescent="0.25">
      <c r="A8" s="255" t="s">
        <v>99</v>
      </c>
      <c r="B8" s="255" t="s">
        <v>134</v>
      </c>
      <c r="C8" s="256">
        <v>989191587.54487813</v>
      </c>
      <c r="D8" s="256">
        <v>64813054.174031742</v>
      </c>
      <c r="E8" s="256">
        <v>1127929.6085841823</v>
      </c>
      <c r="F8" s="256">
        <v>10423089.742188631</v>
      </c>
      <c r="G8" s="256">
        <v>4109922.2953891279</v>
      </c>
      <c r="H8" s="256">
        <v>88327.634928287196</v>
      </c>
      <c r="I8" s="256">
        <v>545886478.84066963</v>
      </c>
      <c r="J8" s="256">
        <v>102297415.30372028</v>
      </c>
      <c r="K8" s="256">
        <v>36320715.133324176</v>
      </c>
      <c r="L8" s="256">
        <v>522753.68578611012</v>
      </c>
      <c r="M8" s="256">
        <v>11440977.207083212</v>
      </c>
      <c r="N8" s="256">
        <v>133224.19324805838</v>
      </c>
      <c r="O8" s="256">
        <v>69372614.867683738</v>
      </c>
      <c r="P8" s="256">
        <v>868069.51642197289</v>
      </c>
      <c r="Q8" s="256">
        <v>10034662.706521694</v>
      </c>
      <c r="R8" s="256">
        <v>985157.72209860373</v>
      </c>
      <c r="S8" s="256">
        <v>2172137.8234424666</v>
      </c>
      <c r="T8" s="256">
        <v>27752189.733826578</v>
      </c>
      <c r="U8" s="256">
        <v>45816066.262378968</v>
      </c>
      <c r="V8" s="256">
        <v>5053284.4157441566</v>
      </c>
      <c r="W8" s="256">
        <v>672170.4566710022</v>
      </c>
      <c r="X8" s="256">
        <v>2312229.1092841355</v>
      </c>
      <c r="Y8" s="256">
        <v>1222014.3922475018</v>
      </c>
      <c r="Z8" s="256">
        <v>50213500.546646446</v>
      </c>
      <c r="AA8" s="256">
        <v>8992406.7486309037</v>
      </c>
      <c r="AB8" s="256">
        <v>5131698.30007309</v>
      </c>
      <c r="AC8" s="256">
        <v>2115010.570940407</v>
      </c>
      <c r="AD8" s="256">
        <v>18546019.009612214</v>
      </c>
      <c r="AE8" s="256">
        <v>65452.453944526307</v>
      </c>
      <c r="AF8" s="256">
        <v>8992175.3495367244</v>
      </c>
      <c r="AG8" s="256">
        <v>2026672335.3495364</v>
      </c>
    </row>
    <row r="9" spans="1:33" x14ac:dyDescent="0.25">
      <c r="A9" s="255" t="s">
        <v>99</v>
      </c>
      <c r="B9" s="255" t="s">
        <v>135</v>
      </c>
      <c r="C9" s="256">
        <v>630205094.18024254</v>
      </c>
      <c r="D9" s="256">
        <v>48390520.767129168</v>
      </c>
      <c r="E9" s="256">
        <v>836869.18285384472</v>
      </c>
      <c r="F9" s="256">
        <v>7166321.6279245988</v>
      </c>
      <c r="G9" s="256">
        <v>3268484.6589168347</v>
      </c>
      <c r="H9" s="256">
        <v>88263.582932974125</v>
      </c>
      <c r="I9" s="256">
        <v>455156152.82505786</v>
      </c>
      <c r="J9" s="256">
        <v>87518051.170980796</v>
      </c>
      <c r="K9" s="256">
        <v>29248131.794782709</v>
      </c>
      <c r="L9" s="256">
        <v>396998.90355181164</v>
      </c>
      <c r="M9" s="256">
        <v>9900076.060900664</v>
      </c>
      <c r="N9" s="256">
        <v>93353.424610748014</v>
      </c>
      <c r="O9" s="256">
        <v>58722246.665900022</v>
      </c>
      <c r="P9" s="256">
        <v>1107305.2797758419</v>
      </c>
      <c r="Q9" s="256">
        <v>7806159.0259571224</v>
      </c>
      <c r="R9" s="256">
        <v>2740913.7969243489</v>
      </c>
      <c r="S9" s="256">
        <v>2170237.0515580382</v>
      </c>
      <c r="T9" s="256">
        <v>24604041.106266111</v>
      </c>
      <c r="U9" s="256">
        <v>45254227.013274759</v>
      </c>
      <c r="V9" s="256">
        <v>4419345.6166012408</v>
      </c>
      <c r="W9" s="256">
        <v>588154.60015814018</v>
      </c>
      <c r="X9" s="256">
        <v>1978445.4222011718</v>
      </c>
      <c r="Y9" s="256">
        <v>2081244.4886373561</v>
      </c>
      <c r="Z9" s="256">
        <v>46386350.951375298</v>
      </c>
      <c r="AA9" s="256">
        <v>8500789.5060606506</v>
      </c>
      <c r="AB9" s="256">
        <v>4378052.1477275258</v>
      </c>
      <c r="AC9" s="256">
        <v>1906840.3234013866</v>
      </c>
      <c r="AD9" s="256">
        <v>17580664.038623452</v>
      </c>
      <c r="AE9" s="256">
        <v>65395.785672918908</v>
      </c>
      <c r="AF9" s="256">
        <v>8992187.2499266006</v>
      </c>
      <c r="AG9" s="256">
        <v>1511550918.2499263</v>
      </c>
    </row>
    <row r="10" spans="1:33" x14ac:dyDescent="0.25">
      <c r="A10" s="255" t="s">
        <v>99</v>
      </c>
      <c r="B10" s="255" t="s">
        <v>136</v>
      </c>
      <c r="C10" s="256">
        <v>527316208.31504571</v>
      </c>
      <c r="D10" s="256">
        <v>54471033.160002567</v>
      </c>
      <c r="E10" s="256">
        <v>937879.49210307689</v>
      </c>
      <c r="F10" s="256">
        <v>6677518.5788984206</v>
      </c>
      <c r="G10" s="256">
        <v>3843629.0079232878</v>
      </c>
      <c r="H10" s="256">
        <v>88206.446026980761</v>
      </c>
      <c r="I10" s="256">
        <v>443538894.9182778</v>
      </c>
      <c r="J10" s="256">
        <v>84613893.676505074</v>
      </c>
      <c r="K10" s="256">
        <v>30510711.539789952</v>
      </c>
      <c r="L10" s="256">
        <v>383256.71091421065</v>
      </c>
      <c r="M10" s="256">
        <v>7827374.6118980851</v>
      </c>
      <c r="N10" s="256">
        <v>78044.012887009929</v>
      </c>
      <c r="O10" s="256">
        <v>61594784.866930068</v>
      </c>
      <c r="P10" s="256">
        <v>1396951.7343627659</v>
      </c>
      <c r="Q10" s="256">
        <v>7633124.0936396355</v>
      </c>
      <c r="R10" s="256">
        <v>770104.8779145506</v>
      </c>
      <c r="S10" s="256">
        <v>2168479.9568806668</v>
      </c>
      <c r="T10" s="256">
        <v>25811968.956135605</v>
      </c>
      <c r="U10" s="256">
        <v>44559300.82847105</v>
      </c>
      <c r="V10" s="256">
        <v>4457791.561535296</v>
      </c>
      <c r="W10" s="256">
        <v>356339.9199758757</v>
      </c>
      <c r="X10" s="256">
        <v>1792223.7027345735</v>
      </c>
      <c r="Y10" s="256">
        <v>1283109.7856676534</v>
      </c>
      <c r="Z10" s="256">
        <v>41003482.192240193</v>
      </c>
      <c r="AA10" s="256">
        <v>9433972.3722144589</v>
      </c>
      <c r="AB10" s="256">
        <v>3648540.464969547</v>
      </c>
      <c r="AC10" s="256">
        <v>1861622.1555175169</v>
      </c>
      <c r="AD10" s="256">
        <v>20605444.583312768</v>
      </c>
      <c r="AE10" s="256">
        <v>65343.477225484487</v>
      </c>
      <c r="AF10" s="256">
        <v>8991596.1814904679</v>
      </c>
      <c r="AG10" s="256">
        <v>1397720832.1814902</v>
      </c>
    </row>
    <row r="11" spans="1:33" x14ac:dyDescent="0.25">
      <c r="A11" s="255" t="s">
        <v>99</v>
      </c>
      <c r="B11" s="255" t="s">
        <v>137</v>
      </c>
      <c r="C11" s="256">
        <v>611059189.6567471</v>
      </c>
      <c r="D11" s="256">
        <v>86452870.417998374</v>
      </c>
      <c r="E11" s="256">
        <v>1343282.1176805492</v>
      </c>
      <c r="F11" s="256">
        <v>8642047.5359950569</v>
      </c>
      <c r="G11" s="256">
        <v>6400861.3459410723</v>
      </c>
      <c r="H11" s="256">
        <v>88243.92563790339</v>
      </c>
      <c r="I11" s="256">
        <v>471604997.02508312</v>
      </c>
      <c r="J11" s="256">
        <v>89541841.039826646</v>
      </c>
      <c r="K11" s="256">
        <v>33511345.916937668</v>
      </c>
      <c r="L11" s="256">
        <v>367149.14648632403</v>
      </c>
      <c r="M11" s="256">
        <v>6312690.3582990775</v>
      </c>
      <c r="N11" s="256">
        <v>107106.08489936611</v>
      </c>
      <c r="O11" s="256">
        <v>70724847.030010656</v>
      </c>
      <c r="P11" s="256">
        <v>1267679.654089954</v>
      </c>
      <c r="Q11" s="256">
        <v>7464353.3052952271</v>
      </c>
      <c r="R11" s="256">
        <v>341609.69984639785</v>
      </c>
      <c r="S11" s="256">
        <v>2168912.7392257191</v>
      </c>
      <c r="T11" s="256">
        <v>24183623.146633107</v>
      </c>
      <c r="U11" s="256">
        <v>45770710.638279378</v>
      </c>
      <c r="V11" s="256">
        <v>4243748.3715919498</v>
      </c>
      <c r="W11" s="256">
        <v>353473.90198660613</v>
      </c>
      <c r="X11" s="256">
        <v>1494721.8144322315</v>
      </c>
      <c r="Y11" s="256">
        <v>1269005.938502932</v>
      </c>
      <c r="Z11" s="256">
        <v>50729713.759020217</v>
      </c>
      <c r="AA11" s="256">
        <v>9078033.2865327653</v>
      </c>
      <c r="AB11" s="256">
        <v>4010914.9566561747</v>
      </c>
      <c r="AC11" s="256">
        <v>2432580.4626267939</v>
      </c>
      <c r="AD11" s="256">
        <v>17875139.180213455</v>
      </c>
      <c r="AE11" s="256">
        <v>65345.543524393732</v>
      </c>
      <c r="AF11" s="256">
        <v>9003895.8715296313</v>
      </c>
      <c r="AG11" s="256">
        <v>1567909933.8715301</v>
      </c>
    </row>
    <row r="12" spans="1:33" x14ac:dyDescent="0.25">
      <c r="A12" s="255" t="s">
        <v>99</v>
      </c>
      <c r="B12" s="255" t="s">
        <v>138</v>
      </c>
      <c r="C12" s="256">
        <v>722369678.123739</v>
      </c>
      <c r="D12" s="256">
        <v>120192127.52805336</v>
      </c>
      <c r="E12" s="256">
        <v>1738459.1219203153</v>
      </c>
      <c r="F12" s="256">
        <v>10681498.251447659</v>
      </c>
      <c r="G12" s="256">
        <v>8592169.2574429698</v>
      </c>
      <c r="H12" s="256">
        <v>88203.717396631881</v>
      </c>
      <c r="I12" s="256">
        <v>494350152.31126207</v>
      </c>
      <c r="J12" s="256">
        <v>86933169.494285285</v>
      </c>
      <c r="K12" s="256">
        <v>34140346.662157752</v>
      </c>
      <c r="L12" s="256">
        <v>398236.68522218958</v>
      </c>
      <c r="M12" s="256">
        <v>10390153.266650736</v>
      </c>
      <c r="N12" s="256">
        <v>146241.22484793703</v>
      </c>
      <c r="O12" s="256">
        <v>69192290.145248607</v>
      </c>
      <c r="P12" s="256">
        <v>1215282.8104158181</v>
      </c>
      <c r="Q12" s="256">
        <v>8047496.4367846055</v>
      </c>
      <c r="R12" s="256">
        <v>237069.69877410226</v>
      </c>
      <c r="S12" s="256">
        <v>2167617.2643508757</v>
      </c>
      <c r="T12" s="256">
        <v>25472290.627128173</v>
      </c>
      <c r="U12" s="256">
        <v>43110671.7030477</v>
      </c>
      <c r="V12" s="256">
        <v>4401138.241622475</v>
      </c>
      <c r="W12" s="256">
        <v>422073.17041634116</v>
      </c>
      <c r="X12" s="256">
        <v>1726178.5578132526</v>
      </c>
      <c r="Y12" s="256">
        <v>1279924.314863771</v>
      </c>
      <c r="Z12" s="256">
        <v>44684907.678580746</v>
      </c>
      <c r="AA12" s="256">
        <v>17569183.497765575</v>
      </c>
      <c r="AB12" s="256">
        <v>4390978.6874218509</v>
      </c>
      <c r="AC12" s="256">
        <v>2148271.4427590906</v>
      </c>
      <c r="AD12" s="256">
        <v>18337027.717374802</v>
      </c>
      <c r="AE12" s="256">
        <v>65303.361206194582</v>
      </c>
      <c r="AF12" s="256">
        <v>9004173.1476427782</v>
      </c>
      <c r="AG12" s="256">
        <v>1743492314.1476426</v>
      </c>
    </row>
    <row r="13" spans="1:33" x14ac:dyDescent="0.25">
      <c r="A13" s="255" t="s">
        <v>99</v>
      </c>
      <c r="B13" s="255" t="s">
        <v>139</v>
      </c>
      <c r="C13" s="256">
        <v>687760720.61894512</v>
      </c>
      <c r="D13" s="256">
        <v>127241699.61919181</v>
      </c>
      <c r="E13" s="256">
        <v>1643777.4472847255</v>
      </c>
      <c r="F13" s="256">
        <v>10587939.516516121</v>
      </c>
      <c r="G13" s="256">
        <v>9125863.3638870716</v>
      </c>
      <c r="H13" s="256">
        <v>88172.434175230141</v>
      </c>
      <c r="I13" s="256">
        <v>504856855.08464056</v>
      </c>
      <c r="J13" s="256">
        <v>78047528.574057266</v>
      </c>
      <c r="K13" s="256">
        <v>31521366.131865881</v>
      </c>
      <c r="L13" s="256">
        <v>336218.91878078441</v>
      </c>
      <c r="M13" s="256">
        <v>9339506.6224179361</v>
      </c>
      <c r="N13" s="256">
        <v>119261.13209768913</v>
      </c>
      <c r="O13" s="256">
        <v>63463563.044062577</v>
      </c>
      <c r="P13" s="256">
        <v>2782174.8080592211</v>
      </c>
      <c r="Q13" s="256">
        <v>7579599.1055169022</v>
      </c>
      <c r="R13" s="256">
        <v>245809.79729143679</v>
      </c>
      <c r="S13" s="256">
        <v>2166515.7812098372</v>
      </c>
      <c r="T13" s="256">
        <v>27441416.429110754</v>
      </c>
      <c r="U13" s="256">
        <v>40983522.243300661</v>
      </c>
      <c r="V13" s="256">
        <v>4586297.2848905753</v>
      </c>
      <c r="W13" s="256">
        <v>677734.90954630403</v>
      </c>
      <c r="X13" s="256">
        <v>1957870.6511459507</v>
      </c>
      <c r="Y13" s="256">
        <v>1197633.9813389159</v>
      </c>
      <c r="Z13" s="256">
        <v>41970521.455728173</v>
      </c>
      <c r="AA13" s="256">
        <v>14709933.903895419</v>
      </c>
      <c r="AB13" s="256">
        <v>4506074.5592564661</v>
      </c>
      <c r="AC13" s="256">
        <v>1892243.834757868</v>
      </c>
      <c r="AD13" s="256">
        <v>19493359.973694023</v>
      </c>
      <c r="AE13" s="256">
        <v>65266.773334911253</v>
      </c>
      <c r="AF13" s="256">
        <v>9005709.3086154647</v>
      </c>
      <c r="AG13" s="256">
        <v>1705394157.3086162</v>
      </c>
    </row>
    <row r="14" spans="1:33" x14ac:dyDescent="0.25">
      <c r="A14" s="255" t="s">
        <v>99</v>
      </c>
      <c r="B14" s="255" t="s">
        <v>140</v>
      </c>
      <c r="C14" s="256">
        <v>627312820.83742094</v>
      </c>
      <c r="D14" s="256">
        <v>115863369.5588233</v>
      </c>
      <c r="E14" s="256">
        <v>1659727.5818691335</v>
      </c>
      <c r="F14" s="256">
        <v>9697342.0572323576</v>
      </c>
      <c r="G14" s="256">
        <v>8037190.1594506958</v>
      </c>
      <c r="H14" s="256">
        <v>88150.805203580836</v>
      </c>
      <c r="I14" s="256">
        <v>505644134.34173346</v>
      </c>
      <c r="J14" s="256">
        <v>74035076.17913048</v>
      </c>
      <c r="K14" s="256">
        <v>27624838.595672827</v>
      </c>
      <c r="L14" s="256">
        <v>301102.56070072902</v>
      </c>
      <c r="M14" s="256">
        <v>7742268.7372270748</v>
      </c>
      <c r="N14" s="256">
        <v>103259.19551663825</v>
      </c>
      <c r="O14" s="256">
        <v>52709912.193254553</v>
      </c>
      <c r="P14" s="256">
        <v>1355140.7699851654</v>
      </c>
      <c r="Q14" s="256">
        <v>6015707.9883561283</v>
      </c>
      <c r="R14" s="256">
        <v>160893.34513724895</v>
      </c>
      <c r="S14" s="256">
        <v>2165624.0932855504</v>
      </c>
      <c r="T14" s="256">
        <v>30521176.607829757</v>
      </c>
      <c r="U14" s="256">
        <v>45038655.057558313</v>
      </c>
      <c r="V14" s="256">
        <v>4276916.3203784386</v>
      </c>
      <c r="W14" s="256">
        <v>607348.64423782437</v>
      </c>
      <c r="X14" s="256">
        <v>2041491.7860248275</v>
      </c>
      <c r="Y14" s="256">
        <v>1262357.4516065079</v>
      </c>
      <c r="Z14" s="256">
        <v>43941894.558357164</v>
      </c>
      <c r="AA14" s="256">
        <v>14508210.750893401</v>
      </c>
      <c r="AB14" s="256">
        <v>4628583.4258811995</v>
      </c>
      <c r="AC14" s="256">
        <v>1881608.7052040794</v>
      </c>
      <c r="AD14" s="256">
        <v>11307641.456521783</v>
      </c>
      <c r="AE14" s="256">
        <v>65236.235506671474</v>
      </c>
      <c r="AF14" s="256">
        <v>9008610.3862399422</v>
      </c>
      <c r="AG14" s="256">
        <v>1609606290.3862398</v>
      </c>
    </row>
    <row r="15" spans="1:33" x14ac:dyDescent="0.25">
      <c r="A15" s="255" t="s">
        <v>99</v>
      </c>
      <c r="B15" s="255" t="s">
        <v>141</v>
      </c>
      <c r="C15" s="256">
        <v>542184358.76866317</v>
      </c>
      <c r="D15" s="256">
        <v>85260494.1481103</v>
      </c>
      <c r="E15" s="256">
        <v>1212037.5557268381</v>
      </c>
      <c r="F15" s="256">
        <v>7830042.7895583408</v>
      </c>
      <c r="G15" s="256">
        <v>6046184.2368587451</v>
      </c>
      <c r="H15" s="256">
        <v>88126.501082594215</v>
      </c>
      <c r="I15" s="256">
        <v>469847417.66108817</v>
      </c>
      <c r="J15" s="256">
        <v>80145399.380039021</v>
      </c>
      <c r="K15" s="256">
        <v>29365588.839713175</v>
      </c>
      <c r="L15" s="256">
        <v>383985.04724312783</v>
      </c>
      <c r="M15" s="256">
        <v>9684643.1752806399</v>
      </c>
      <c r="N15" s="256">
        <v>96607.885805017577</v>
      </c>
      <c r="O15" s="256">
        <v>55013507.7519968</v>
      </c>
      <c r="P15" s="256">
        <v>833268.0692417745</v>
      </c>
      <c r="Q15" s="256">
        <v>7202766.7325030435</v>
      </c>
      <c r="R15" s="256">
        <v>611357.42118693446</v>
      </c>
      <c r="S15" s="256">
        <v>2164662.0359022366</v>
      </c>
      <c r="T15" s="256">
        <v>28875479.249394123</v>
      </c>
      <c r="U15" s="256">
        <v>42989960.914111912</v>
      </c>
      <c r="V15" s="256">
        <v>4447550.156291971</v>
      </c>
      <c r="W15" s="256">
        <v>603017.18352225306</v>
      </c>
      <c r="X15" s="256">
        <v>905264.68377535883</v>
      </c>
      <c r="Y15" s="256">
        <v>901123.2495444637</v>
      </c>
      <c r="Z15" s="256">
        <v>41600313.423177324</v>
      </c>
      <c r="AA15" s="256">
        <v>8930502.2960776519</v>
      </c>
      <c r="AB15" s="256">
        <v>3865675.6204961003</v>
      </c>
      <c r="AC15" s="256">
        <v>1947070.1211951992</v>
      </c>
      <c r="AD15" s="256">
        <v>19858828.175148003</v>
      </c>
      <c r="AE15" s="256">
        <v>65203.927265634069</v>
      </c>
      <c r="AF15" s="256">
        <v>9011281.0835113712</v>
      </c>
      <c r="AG15" s="256">
        <v>1461971718.0835109</v>
      </c>
    </row>
    <row r="16" spans="1:33" x14ac:dyDescent="0.25">
      <c r="A16" s="255" t="s">
        <v>99</v>
      </c>
      <c r="B16" s="255" t="s">
        <v>142</v>
      </c>
      <c r="C16" s="256">
        <v>508573394.90202558</v>
      </c>
      <c r="D16" s="256">
        <v>63000023.50514587</v>
      </c>
      <c r="E16" s="256">
        <v>904569.00992310338</v>
      </c>
      <c r="F16" s="256">
        <v>6871277.7584397346</v>
      </c>
      <c r="G16" s="256">
        <v>4325387.6842579041</v>
      </c>
      <c r="H16" s="256">
        <v>88100.140207781267</v>
      </c>
      <c r="I16" s="256">
        <v>452797452.24703485</v>
      </c>
      <c r="J16" s="256">
        <v>77943795.819807053</v>
      </c>
      <c r="K16" s="256">
        <v>27437123.334943864</v>
      </c>
      <c r="L16" s="256">
        <v>377083.98201354337</v>
      </c>
      <c r="M16" s="256">
        <v>8987354.9173281379</v>
      </c>
      <c r="N16" s="256">
        <v>82830.412139355656</v>
      </c>
      <c r="O16" s="256">
        <v>51609435.236843154</v>
      </c>
      <c r="P16" s="256">
        <v>935045.08690717944</v>
      </c>
      <c r="Q16" s="256">
        <v>6529688.3501754189</v>
      </c>
      <c r="R16" s="256">
        <v>3257513.4911365425</v>
      </c>
      <c r="S16" s="256">
        <v>2163649.1216711076</v>
      </c>
      <c r="T16" s="256">
        <v>27578390.238344837</v>
      </c>
      <c r="U16" s="256">
        <v>43113402.595978059</v>
      </c>
      <c r="V16" s="256">
        <v>4476400.4297940694</v>
      </c>
      <c r="W16" s="256">
        <v>709381.68812016724</v>
      </c>
      <c r="X16" s="256">
        <v>2170226.9648940857</v>
      </c>
      <c r="Y16" s="256">
        <v>1028863.5817598416</v>
      </c>
      <c r="Z16" s="256">
        <v>43373772.135804974</v>
      </c>
      <c r="AA16" s="256">
        <v>5384586.597374103</v>
      </c>
      <c r="AB16" s="256">
        <v>3905255.5775755784</v>
      </c>
      <c r="AC16" s="256">
        <v>1849835.9080466314</v>
      </c>
      <c r="AD16" s="256">
        <v>19441752.795603652</v>
      </c>
      <c r="AE16" s="256">
        <v>65170.486703997434</v>
      </c>
      <c r="AF16" s="256">
        <v>9013765.744558163</v>
      </c>
      <c r="AG16" s="256">
        <v>1377994529.7445586</v>
      </c>
    </row>
    <row r="17" spans="1:37" x14ac:dyDescent="0.25">
      <c r="A17" s="255" t="s">
        <v>99</v>
      </c>
      <c r="B17" s="255" t="s">
        <v>143</v>
      </c>
      <c r="C17" s="256">
        <v>709164085.84811568</v>
      </c>
      <c r="D17" s="256">
        <v>52800052.786845252</v>
      </c>
      <c r="E17" s="256">
        <v>952653.87326650089</v>
      </c>
      <c r="F17" s="256">
        <v>8059928.112462827</v>
      </c>
      <c r="G17" s="256">
        <v>3686312.9197137076</v>
      </c>
      <c r="H17" s="256">
        <v>88072.459596059343</v>
      </c>
      <c r="I17" s="256">
        <v>484187727.70076436</v>
      </c>
      <c r="J17" s="256">
        <v>88350694.938817292</v>
      </c>
      <c r="K17" s="256">
        <v>30932718.174938414</v>
      </c>
      <c r="L17" s="256">
        <v>432089.36078289826</v>
      </c>
      <c r="M17" s="256">
        <v>9283557.3982111961</v>
      </c>
      <c r="N17" s="256">
        <v>106134.42686691464</v>
      </c>
      <c r="O17" s="256">
        <v>57850359.643091202</v>
      </c>
      <c r="P17" s="256">
        <v>1371168.4506372472</v>
      </c>
      <c r="Q17" s="256">
        <v>7666082.7700159475</v>
      </c>
      <c r="R17" s="256">
        <v>959928.57860910764</v>
      </c>
      <c r="S17" s="256">
        <v>2162608.5572653343</v>
      </c>
      <c r="T17" s="256">
        <v>25931577.57984655</v>
      </c>
      <c r="U17" s="256">
        <v>43443570.844403699</v>
      </c>
      <c r="V17" s="256">
        <v>4898235.8504235204</v>
      </c>
      <c r="W17" s="256">
        <v>367492.58254322113</v>
      </c>
      <c r="X17" s="256">
        <v>1965954.8392841816</v>
      </c>
      <c r="Y17" s="256">
        <v>1146703.25578512</v>
      </c>
      <c r="Z17" s="256">
        <v>47073849.073925786</v>
      </c>
      <c r="AA17" s="256">
        <v>12668261.242914991</v>
      </c>
      <c r="AB17" s="256">
        <v>3671891.2079265662</v>
      </c>
      <c r="AC17" s="256">
        <v>1852089.6165254316</v>
      </c>
      <c r="AD17" s="256">
        <v>17192580.237614132</v>
      </c>
      <c r="AE17" s="256">
        <v>65136.668806805726</v>
      </c>
      <c r="AF17" s="256">
        <v>9016117.8093725275</v>
      </c>
      <c r="AG17" s="256">
        <v>1627347636.8093724</v>
      </c>
    </row>
    <row r="18" spans="1:37" x14ac:dyDescent="0.25">
      <c r="A18" s="255" t="s">
        <v>99</v>
      </c>
      <c r="B18" s="255" t="s">
        <v>144</v>
      </c>
      <c r="C18" s="256">
        <v>1012287272.4235581</v>
      </c>
      <c r="D18" s="256">
        <v>65039431.427571014</v>
      </c>
      <c r="E18" s="256">
        <v>1158882.6846202938</v>
      </c>
      <c r="F18" s="256">
        <v>10643866.024825605</v>
      </c>
      <c r="G18" s="256">
        <v>4155458.1139936736</v>
      </c>
      <c r="H18" s="256">
        <v>88044.325431412202</v>
      </c>
      <c r="I18" s="256">
        <v>537009612.9321661</v>
      </c>
      <c r="J18" s="256">
        <v>101055189.17441535</v>
      </c>
      <c r="K18" s="256">
        <v>33324629.355152294</v>
      </c>
      <c r="L18" s="256">
        <v>530631.10881172656</v>
      </c>
      <c r="M18" s="256">
        <v>11267699.495759955</v>
      </c>
      <c r="N18" s="256">
        <v>122722.1749977755</v>
      </c>
      <c r="O18" s="256">
        <v>69791259.286236286</v>
      </c>
      <c r="P18" s="256">
        <v>964200.33789531747</v>
      </c>
      <c r="Q18" s="256">
        <v>8949471.3690311071</v>
      </c>
      <c r="R18" s="256">
        <v>601734.41599328793</v>
      </c>
      <c r="S18" s="256">
        <v>2161565.3495406699</v>
      </c>
      <c r="T18" s="256">
        <v>28303603.755646501</v>
      </c>
      <c r="U18" s="256">
        <v>51020316.107019797</v>
      </c>
      <c r="V18" s="256">
        <v>4168962.4549422176</v>
      </c>
      <c r="W18" s="256">
        <v>-379052.3201283231</v>
      </c>
      <c r="X18" s="256">
        <v>2415089.6358587858</v>
      </c>
      <c r="Y18" s="256">
        <v>1419199.8448487152</v>
      </c>
      <c r="Z18" s="256">
        <v>49737662.987189978</v>
      </c>
      <c r="AA18" s="256">
        <v>9600968.1131667998</v>
      </c>
      <c r="AB18" s="256">
        <v>3453644.1433644579</v>
      </c>
      <c r="AC18" s="256">
        <v>2121870.3756023035</v>
      </c>
      <c r="AD18" s="256">
        <v>16439305.932375427</v>
      </c>
      <c r="AE18" s="256">
        <v>65102.970113369331</v>
      </c>
      <c r="AF18" s="256">
        <v>9018400.9926557951</v>
      </c>
      <c r="AG18" s="256">
        <v>2036536744.9926555</v>
      </c>
    </row>
    <row r="19" spans="1:37" x14ac:dyDescent="0.25">
      <c r="A19" s="255" t="s">
        <v>99</v>
      </c>
      <c r="B19" s="255" t="s">
        <v>145</v>
      </c>
      <c r="C19" s="256">
        <v>1134821540.9060366</v>
      </c>
      <c r="D19" s="256">
        <v>72524107.699540228</v>
      </c>
      <c r="E19" s="256">
        <v>1132270.5860206091</v>
      </c>
      <c r="F19" s="256">
        <v>11649715.847300276</v>
      </c>
      <c r="G19" s="256">
        <v>4508402.204631404</v>
      </c>
      <c r="H19" s="256">
        <v>88016.756471015586</v>
      </c>
      <c r="I19" s="256">
        <v>592891995.79819989</v>
      </c>
      <c r="J19" s="256">
        <v>103484827.30305207</v>
      </c>
      <c r="K19" s="256">
        <v>36602992.180472486</v>
      </c>
      <c r="L19" s="256">
        <v>495121.81504596421</v>
      </c>
      <c r="M19" s="256">
        <v>11520612.60646663</v>
      </c>
      <c r="N19" s="256">
        <v>155138.32951224127</v>
      </c>
      <c r="O19" s="256">
        <v>67689487.32193552</v>
      </c>
      <c r="P19" s="256">
        <v>688339.71455319109</v>
      </c>
      <c r="Q19" s="256">
        <v>10378065.168200284</v>
      </c>
      <c r="R19" s="256">
        <v>910729.44318760955</v>
      </c>
      <c r="S19" s="256">
        <v>2160549.3193740598</v>
      </c>
      <c r="T19" s="256">
        <v>29271396.42435611</v>
      </c>
      <c r="U19" s="256">
        <v>49347350.733964682</v>
      </c>
      <c r="V19" s="256">
        <v>5258352.9645852735</v>
      </c>
      <c r="W19" s="256">
        <v>1362797.3076005506</v>
      </c>
      <c r="X19" s="256">
        <v>2379956.6821168056</v>
      </c>
      <c r="Y19" s="256">
        <v>3639786.0723506743</v>
      </c>
      <c r="Z19" s="256">
        <v>51659670.390564024</v>
      </c>
      <c r="AA19" s="256">
        <v>9419779.5147731863</v>
      </c>
      <c r="AB19" s="256">
        <v>5386138.6816127123</v>
      </c>
      <c r="AC19" s="256">
        <v>2076651.916715696</v>
      </c>
      <c r="AD19" s="256">
        <v>17974935.36566605</v>
      </c>
      <c r="AE19" s="256">
        <v>65069.945694204151</v>
      </c>
      <c r="AF19" s="256">
        <v>9020690.6103177909</v>
      </c>
      <c r="AG19" s="256">
        <v>2238564489.6103172</v>
      </c>
    </row>
    <row r="20" spans="1:37" x14ac:dyDescent="0.25">
      <c r="A20" s="255" t="s">
        <v>99</v>
      </c>
      <c r="B20" s="255" t="s">
        <v>146</v>
      </c>
      <c r="C20" s="256">
        <v>985028124.89651215</v>
      </c>
      <c r="D20" s="256">
        <v>64342176.647262596</v>
      </c>
      <c r="E20" s="256">
        <v>1107961.3292800277</v>
      </c>
      <c r="F20" s="256">
        <v>10275615.498513041</v>
      </c>
      <c r="G20" s="256">
        <v>4015885.6850517844</v>
      </c>
      <c r="H20" s="256">
        <v>87990.94338072688</v>
      </c>
      <c r="I20" s="256">
        <v>533871012.85352397</v>
      </c>
      <c r="J20" s="256">
        <v>98227726.011030883</v>
      </c>
      <c r="K20" s="256">
        <v>34543099.479111701</v>
      </c>
      <c r="L20" s="256">
        <v>504955.07153749641</v>
      </c>
      <c r="M20" s="256">
        <v>11051437.074755242</v>
      </c>
      <c r="N20" s="256">
        <v>142325.93954841778</v>
      </c>
      <c r="O20" s="256">
        <v>67301638.672124073</v>
      </c>
      <c r="P20" s="256">
        <v>685554.18114360585</v>
      </c>
      <c r="Q20" s="256">
        <v>9677635.8809119519</v>
      </c>
      <c r="R20" s="256">
        <v>779814.91722494992</v>
      </c>
      <c r="S20" s="256">
        <v>2159586.9190875767</v>
      </c>
      <c r="T20" s="256">
        <v>29192572.920299672</v>
      </c>
      <c r="U20" s="256">
        <v>46338227.858215414</v>
      </c>
      <c r="V20" s="256">
        <v>5095924.9851717642</v>
      </c>
      <c r="W20" s="256">
        <v>643002.74053805752</v>
      </c>
      <c r="X20" s="256">
        <v>2340101.5289219012</v>
      </c>
      <c r="Y20" s="256">
        <v>1195563.1625230294</v>
      </c>
      <c r="Z20" s="256">
        <v>49731933.714417942</v>
      </c>
      <c r="AA20" s="256">
        <v>8786850.4578894842</v>
      </c>
      <c r="AB20" s="256">
        <v>5186268.9710852094</v>
      </c>
      <c r="AC20" s="256">
        <v>2075956.9840219335</v>
      </c>
      <c r="AD20" s="256">
        <v>18557697.434823744</v>
      </c>
      <c r="AE20" s="256">
        <v>65038.242091833934</v>
      </c>
      <c r="AF20" s="256">
        <v>9023075.1692336872</v>
      </c>
      <c r="AG20" s="256">
        <v>2002034756.1692343</v>
      </c>
    </row>
    <row r="21" spans="1:37" x14ac:dyDescent="0.25">
      <c r="A21" s="255" t="s">
        <v>99</v>
      </c>
      <c r="B21" s="255" t="s">
        <v>147</v>
      </c>
      <c r="C21" s="256">
        <v>636790264.34241462</v>
      </c>
      <c r="D21" s="256">
        <v>48879219.181070291</v>
      </c>
      <c r="E21" s="256">
        <v>858451.66619244311</v>
      </c>
      <c r="F21" s="256">
        <v>7160670.2942800839</v>
      </c>
      <c r="G21" s="256">
        <v>3215797.2094198596</v>
      </c>
      <c r="H21" s="256">
        <v>87968.306622789198</v>
      </c>
      <c r="I21" s="256">
        <v>453966264.51231456</v>
      </c>
      <c r="J21" s="256">
        <v>87573396.020085871</v>
      </c>
      <c r="K21" s="256">
        <v>28102061.649761118</v>
      </c>
      <c r="L21" s="256">
        <v>392568.16866675526</v>
      </c>
      <c r="M21" s="256">
        <v>9789585.5482687596</v>
      </c>
      <c r="N21" s="256">
        <v>92328.520770086485</v>
      </c>
      <c r="O21" s="256">
        <v>59768809.919449173</v>
      </c>
      <c r="P21" s="256">
        <v>1070875.8829152179</v>
      </c>
      <c r="Q21" s="256">
        <v>7619741.4015404992</v>
      </c>
      <c r="R21" s="256">
        <v>2291279.0951705044</v>
      </c>
      <c r="S21" s="256">
        <v>2158702.281057653</v>
      </c>
      <c r="T21" s="256">
        <v>24664196.728894848</v>
      </c>
      <c r="U21" s="256">
        <v>45294588.555504501</v>
      </c>
      <c r="V21" s="256">
        <v>4270527.6693994505</v>
      </c>
      <c r="W21" s="256">
        <v>485553.40902137099</v>
      </c>
      <c r="X21" s="256">
        <v>1950552.3173175657</v>
      </c>
      <c r="Y21" s="256">
        <v>2345664.805874208</v>
      </c>
      <c r="Z21" s="256">
        <v>46641957.926417336</v>
      </c>
      <c r="AA21" s="256">
        <v>8248399.2583817309</v>
      </c>
      <c r="AB21" s="256">
        <v>4483058.4109696029</v>
      </c>
      <c r="AC21" s="256">
        <v>1844539.2639531402</v>
      </c>
      <c r="AD21" s="256">
        <v>17784227.045516029</v>
      </c>
      <c r="AE21" s="256">
        <v>65008.608750213498</v>
      </c>
      <c r="AF21" s="256">
        <v>9025657.9842392132</v>
      </c>
      <c r="AG21" s="256">
        <v>1516921915.9842393</v>
      </c>
    </row>
    <row r="22" spans="1:37" x14ac:dyDescent="0.25">
      <c r="A22" s="255" t="s">
        <v>99</v>
      </c>
      <c r="B22" s="255" t="s">
        <v>148</v>
      </c>
      <c r="C22" s="256">
        <v>528923117.93218118</v>
      </c>
      <c r="D22" s="256">
        <v>54758161.222291954</v>
      </c>
      <c r="E22" s="256">
        <v>930860.51094852737</v>
      </c>
      <c r="F22" s="256">
        <v>6660069.3091849908</v>
      </c>
      <c r="G22" s="256">
        <v>3749662.488343759</v>
      </c>
      <c r="H22" s="256">
        <v>87948.537049632185</v>
      </c>
      <c r="I22" s="256">
        <v>436435506.38751769</v>
      </c>
      <c r="J22" s="256">
        <v>84426496.670032889</v>
      </c>
      <c r="K22" s="256">
        <v>29264922.386868171</v>
      </c>
      <c r="L22" s="256">
        <v>381618.9215819505</v>
      </c>
      <c r="M22" s="256">
        <v>7793925.5155772641</v>
      </c>
      <c r="N22" s="256">
        <v>77754.179473470096</v>
      </c>
      <c r="O22" s="256">
        <v>62517226.492168412</v>
      </c>
      <c r="P22" s="256">
        <v>1519560.3080071472</v>
      </c>
      <c r="Q22" s="256">
        <v>7330410.088791552</v>
      </c>
      <c r="R22" s="256">
        <v>771978.07444440876</v>
      </c>
      <c r="S22" s="256">
        <v>2157889.9755368978</v>
      </c>
      <c r="T22" s="256">
        <v>26729939.019867223</v>
      </c>
      <c r="U22" s="256">
        <v>44872079.233875886</v>
      </c>
      <c r="V22" s="256">
        <v>4576087.3323186254</v>
      </c>
      <c r="W22" s="256">
        <v>218318.03313667967</v>
      </c>
      <c r="X22" s="256">
        <v>1848314.8770804044</v>
      </c>
      <c r="Y22" s="256">
        <v>1378684.1055126919</v>
      </c>
      <c r="Z22" s="256">
        <v>40542546.587414786</v>
      </c>
      <c r="AA22" s="256">
        <v>9566543.2578314729</v>
      </c>
      <c r="AB22" s="256">
        <v>3564112.9800427533</v>
      </c>
      <c r="AC22" s="256">
        <v>1680332.3067227281</v>
      </c>
      <c r="AD22" s="256">
        <v>20272744.409642901</v>
      </c>
      <c r="AE22" s="256">
        <v>64980.856553862024</v>
      </c>
      <c r="AF22" s="256">
        <v>9028506.2803181708</v>
      </c>
      <c r="AG22" s="256">
        <v>1392130298.280318</v>
      </c>
    </row>
    <row r="23" spans="1:37" ht="15.75" thickBot="1" x14ac:dyDescent="0.3">
      <c r="A23" s="255" t="s">
        <v>99</v>
      </c>
      <c r="B23" s="255" t="s">
        <v>149</v>
      </c>
      <c r="C23" s="256">
        <v>606698139.48459649</v>
      </c>
      <c r="D23" s="256">
        <v>86937830.926444277</v>
      </c>
      <c r="E23" s="256">
        <v>1335514.9208051851</v>
      </c>
      <c r="F23" s="256">
        <v>8556932.688291233</v>
      </c>
      <c r="G23" s="256">
        <v>6349504.2091195695</v>
      </c>
      <c r="H23" s="256">
        <v>87871.77074323027</v>
      </c>
      <c r="I23" s="256">
        <v>457536649.5840987</v>
      </c>
      <c r="J23" s="256">
        <v>88679538.467067495</v>
      </c>
      <c r="K23" s="256">
        <v>32570608.905889496</v>
      </c>
      <c r="L23" s="256">
        <v>368817.45465035678</v>
      </c>
      <c r="M23" s="256">
        <v>6341374.9214052409</v>
      </c>
      <c r="N23" s="256">
        <v>107875.07334235925</v>
      </c>
      <c r="O23" s="256">
        <v>70933741.940904126</v>
      </c>
      <c r="P23" s="256">
        <v>1525674.0913173687</v>
      </c>
      <c r="Q23" s="256">
        <v>7211789.1862737462</v>
      </c>
      <c r="R23" s="256">
        <v>384138.90501914365</v>
      </c>
      <c r="S23" s="256">
        <v>2155386.4700321322</v>
      </c>
      <c r="T23" s="256">
        <v>23801996.769569229</v>
      </c>
      <c r="U23" s="256">
        <v>45335514.120480046</v>
      </c>
      <c r="V23" s="256">
        <v>4088258.4589383663</v>
      </c>
      <c r="W23" s="256">
        <v>211007.69915059689</v>
      </c>
      <c r="X23" s="256">
        <v>1373291.7134215906</v>
      </c>
      <c r="Y23" s="256">
        <v>1338631.7826116271</v>
      </c>
      <c r="Z23" s="256">
        <v>50295088.7919126</v>
      </c>
      <c r="AA23" s="256">
        <v>10988893.84616453</v>
      </c>
      <c r="AB23" s="256">
        <v>4002146.587192066</v>
      </c>
      <c r="AC23" s="256">
        <v>2434784.3951662579</v>
      </c>
      <c r="AD23" s="256">
        <v>18007851.075527363</v>
      </c>
      <c r="AE23" s="256">
        <v>64899.759865697968</v>
      </c>
      <c r="AF23" s="256">
        <v>9029827.8306435142</v>
      </c>
      <c r="AG23" s="256">
        <v>1548753581.8306437</v>
      </c>
    </row>
    <row r="24" spans="1:37" x14ac:dyDescent="0.25">
      <c r="A24" s="257" t="s">
        <v>99</v>
      </c>
      <c r="B24" s="258" t="s">
        <v>150</v>
      </c>
      <c r="C24" s="259">
        <v>722358523.97640443</v>
      </c>
      <c r="D24" s="259">
        <v>119852861.07789376</v>
      </c>
      <c r="E24" s="259">
        <v>1730216.4594513434</v>
      </c>
      <c r="F24" s="259">
        <v>10581716.664340191</v>
      </c>
      <c r="G24" s="259">
        <v>8369412.6163387075</v>
      </c>
      <c r="H24" s="259">
        <v>87844.20557163599</v>
      </c>
      <c r="I24" s="259">
        <v>485748071.60433078</v>
      </c>
      <c r="J24" s="259">
        <v>84142684.290659845</v>
      </c>
      <c r="K24" s="259">
        <v>33392569.020071384</v>
      </c>
      <c r="L24" s="259">
        <v>389514.08810228913</v>
      </c>
      <c r="M24" s="259">
        <v>10162577.243842974</v>
      </c>
      <c r="N24" s="259">
        <v>142154.34908864935</v>
      </c>
      <c r="O24" s="259">
        <v>68093153.696519241</v>
      </c>
      <c r="P24" s="259">
        <v>1239360.9042236884</v>
      </c>
      <c r="Q24" s="259">
        <v>7846104.1459776023</v>
      </c>
      <c r="R24" s="259">
        <v>240115.77908441503</v>
      </c>
      <c r="S24" s="259">
        <v>2154370.8780992269</v>
      </c>
      <c r="T24" s="259">
        <v>26187826.938990198</v>
      </c>
      <c r="U24" s="259">
        <v>42592264.591626249</v>
      </c>
      <c r="V24" s="259">
        <v>4428546.924831558</v>
      </c>
      <c r="W24" s="259">
        <v>246528.07521138742</v>
      </c>
      <c r="X24" s="259">
        <v>1766905.8230332946</v>
      </c>
      <c r="Y24" s="259">
        <v>1367925.233754812</v>
      </c>
      <c r="Z24" s="259">
        <v>43669423.901498064</v>
      </c>
      <c r="AA24" s="259">
        <v>17711679.967144724</v>
      </c>
      <c r="AB24" s="259">
        <v>4507308.4669488175</v>
      </c>
      <c r="AC24" s="259">
        <v>2156598.5353232073</v>
      </c>
      <c r="AD24" s="259">
        <v>18918465.228446893</v>
      </c>
      <c r="AE24" s="259">
        <v>64866.313190802772</v>
      </c>
      <c r="AF24" s="259">
        <v>9031972.6905020587</v>
      </c>
      <c r="AG24" s="260">
        <v>1729181563.6905019</v>
      </c>
    </row>
    <row r="25" spans="1:37" x14ac:dyDescent="0.25">
      <c r="A25" s="261" t="s">
        <v>99</v>
      </c>
      <c r="B25" s="255" t="s">
        <v>151</v>
      </c>
      <c r="C25" s="256">
        <v>682527091.50305605</v>
      </c>
      <c r="D25" s="256">
        <v>126137889.7704698</v>
      </c>
      <c r="E25" s="256">
        <v>1570569.8902808749</v>
      </c>
      <c r="F25" s="256">
        <v>10489507.634261973</v>
      </c>
      <c r="G25" s="256">
        <v>8820997.2528669424</v>
      </c>
      <c r="H25" s="256">
        <v>87816.949064448956</v>
      </c>
      <c r="I25" s="256">
        <v>492029656.47398859</v>
      </c>
      <c r="J25" s="256">
        <v>73764500.87020272</v>
      </c>
      <c r="K25" s="256">
        <v>30258344.928750321</v>
      </c>
      <c r="L25" s="256">
        <v>322747.05269692751</v>
      </c>
      <c r="M25" s="256">
        <v>8965284.4252769575</v>
      </c>
      <c r="N25" s="256">
        <v>111988.54383264315</v>
      </c>
      <c r="O25" s="256">
        <v>61329449.779966421</v>
      </c>
      <c r="P25" s="256">
        <v>3114514.2041147766</v>
      </c>
      <c r="Q25" s="256">
        <v>7161980.8132447181</v>
      </c>
      <c r="R25" s="256">
        <v>225845.5059722146</v>
      </c>
      <c r="S25" s="256">
        <v>2153362.4019535827</v>
      </c>
      <c r="T25" s="256">
        <v>28088661.681432538</v>
      </c>
      <c r="U25" s="256">
        <v>40178232.59196604</v>
      </c>
      <c r="V25" s="256">
        <v>4487051.2129958281</v>
      </c>
      <c r="W25" s="256">
        <v>681747.58844379638</v>
      </c>
      <c r="X25" s="256">
        <v>2029160.9205541229</v>
      </c>
      <c r="Y25" s="256">
        <v>1288076.5806123428</v>
      </c>
      <c r="Z25" s="256">
        <v>41461692.858035527</v>
      </c>
      <c r="AA25" s="256">
        <v>15843008.091176916</v>
      </c>
      <c r="AB25" s="256">
        <v>4354555.4306086386</v>
      </c>
      <c r="AC25" s="256">
        <v>1886552.7859255672</v>
      </c>
      <c r="AD25" s="256">
        <v>18906354.131755803</v>
      </c>
      <c r="AE25" s="256">
        <v>64833.126492895026</v>
      </c>
      <c r="AF25" s="256">
        <v>9034168.4550069515</v>
      </c>
      <c r="AG25" s="262">
        <v>1677375643.4550073</v>
      </c>
    </row>
    <row r="26" spans="1:37" x14ac:dyDescent="0.25">
      <c r="A26" s="261" t="s">
        <v>99</v>
      </c>
      <c r="B26" s="255" t="s">
        <v>152</v>
      </c>
      <c r="C26" s="256">
        <v>619680801.55992651</v>
      </c>
      <c r="D26" s="256">
        <v>112155357.9009584</v>
      </c>
      <c r="E26" s="256">
        <v>1669537.8586788147</v>
      </c>
      <c r="F26" s="256">
        <v>9535391.8798329979</v>
      </c>
      <c r="G26" s="256">
        <v>7661640.5755462153</v>
      </c>
      <c r="H26" s="256">
        <v>87789.225057006683</v>
      </c>
      <c r="I26" s="256">
        <v>498252213.74139482</v>
      </c>
      <c r="J26" s="256">
        <v>66690384.588094391</v>
      </c>
      <c r="K26" s="256">
        <v>25285257.343931291</v>
      </c>
      <c r="L26" s="256">
        <v>275601.81783024798</v>
      </c>
      <c r="M26" s="256">
        <v>7086566.5610558661</v>
      </c>
      <c r="N26" s="256">
        <v>84274.14589876018</v>
      </c>
      <c r="O26" s="256">
        <v>48617816.617140651</v>
      </c>
      <c r="P26" s="256">
        <v>1323036.7162100829</v>
      </c>
      <c r="Q26" s="256">
        <v>5404373.265274642</v>
      </c>
      <c r="R26" s="256">
        <v>145617.95487008724</v>
      </c>
      <c r="S26" s="256">
        <v>2152344.2482991251</v>
      </c>
      <c r="T26" s="256">
        <v>32880767.493627984</v>
      </c>
      <c r="U26" s="256">
        <v>44601821.41513776</v>
      </c>
      <c r="V26" s="256">
        <v>4229315.8409257038</v>
      </c>
      <c r="W26" s="256">
        <v>603414.93720504746</v>
      </c>
      <c r="X26" s="256">
        <v>2206210.9677106421</v>
      </c>
      <c r="Y26" s="256">
        <v>1359672.9755528378</v>
      </c>
      <c r="Z26" s="256">
        <v>43050412.648498043</v>
      </c>
      <c r="AA26" s="256">
        <v>15407347.944547286</v>
      </c>
      <c r="AB26" s="256">
        <v>4634427.579365748</v>
      </c>
      <c r="AC26" s="256">
        <v>1798489.2821598519</v>
      </c>
      <c r="AD26" s="256">
        <v>8919234.1957747601</v>
      </c>
      <c r="AE26" s="256">
        <v>64799.719494357334</v>
      </c>
      <c r="AF26" s="256">
        <v>9036305.2532212138</v>
      </c>
      <c r="AG26" s="262">
        <v>1574900226.2532213</v>
      </c>
    </row>
    <row r="27" spans="1:37" x14ac:dyDescent="0.25">
      <c r="A27" s="261" t="s">
        <v>99</v>
      </c>
      <c r="B27" s="255" t="s">
        <v>153</v>
      </c>
      <c r="C27" s="256">
        <v>538428968.75710738</v>
      </c>
      <c r="D27" s="256">
        <v>84751353.896596625</v>
      </c>
      <c r="E27" s="256">
        <v>1227641.0404139222</v>
      </c>
      <c r="F27" s="256">
        <v>7769326.6452512322</v>
      </c>
      <c r="G27" s="256">
        <v>5993874.4436776079</v>
      </c>
      <c r="H27" s="256">
        <v>87761.216953248164</v>
      </c>
      <c r="I27" s="256">
        <v>455296029.11931145</v>
      </c>
      <c r="J27" s="256">
        <v>78157712.019874528</v>
      </c>
      <c r="K27" s="256">
        <v>28635137.515551377</v>
      </c>
      <c r="L27" s="256">
        <v>374433.65061532526</v>
      </c>
      <c r="M27" s="256">
        <v>9443743.5130933318</v>
      </c>
      <c r="N27" s="256">
        <v>97233.11681683686</v>
      </c>
      <c r="O27" s="256">
        <v>54152249.005913369</v>
      </c>
      <c r="P27" s="256">
        <v>1047343.8098430033</v>
      </c>
      <c r="Q27" s="256">
        <v>6976617.3883344093</v>
      </c>
      <c r="R27" s="256">
        <v>606547.41634280037</v>
      </c>
      <c r="S27" s="256">
        <v>2151321.4443033575</v>
      </c>
      <c r="T27" s="256">
        <v>29936347.384152018</v>
      </c>
      <c r="U27" s="256">
        <v>42309276.55567345</v>
      </c>
      <c r="V27" s="256">
        <v>4344612.0513858106</v>
      </c>
      <c r="W27" s="256">
        <v>595068.69948635111</v>
      </c>
      <c r="X27" s="256">
        <v>886885.63302567543</v>
      </c>
      <c r="Y27" s="256">
        <v>853714.79769342905</v>
      </c>
      <c r="Z27" s="256">
        <v>41278094.0954739</v>
      </c>
      <c r="AA27" s="256">
        <v>8616722.8102795035</v>
      </c>
      <c r="AB27" s="256">
        <v>3790186.4416577262</v>
      </c>
      <c r="AC27" s="256">
        <v>1896928.0204065314</v>
      </c>
      <c r="AD27" s="256">
        <v>19812786.290112115</v>
      </c>
      <c r="AE27" s="256">
        <v>64766.220653512399</v>
      </c>
      <c r="AF27" s="256">
        <v>9038397.4137848355</v>
      </c>
      <c r="AG27" s="262">
        <v>1438621080.4137845</v>
      </c>
    </row>
    <row r="28" spans="1:37" ht="15.75" thickBot="1" x14ac:dyDescent="0.3">
      <c r="A28" s="261" t="s">
        <v>99</v>
      </c>
      <c r="B28" s="255" t="s">
        <v>154</v>
      </c>
      <c r="C28" s="256">
        <v>503120645.65432155</v>
      </c>
      <c r="D28" s="256">
        <v>63522914.558881857</v>
      </c>
      <c r="E28" s="256">
        <v>915358.93155605998</v>
      </c>
      <c r="F28" s="256">
        <v>6839169.4425604297</v>
      </c>
      <c r="G28" s="256">
        <v>4305995.3406772716</v>
      </c>
      <c r="H28" s="256">
        <v>87733.072002845249</v>
      </c>
      <c r="I28" s="256">
        <v>441833801.10149503</v>
      </c>
      <c r="J28" s="256">
        <v>74107138.151159212</v>
      </c>
      <c r="K28" s="256">
        <v>26076337.957578208</v>
      </c>
      <c r="L28" s="256">
        <v>358381.93506428029</v>
      </c>
      <c r="M28" s="256">
        <v>8541613.5397282671</v>
      </c>
      <c r="N28" s="256">
        <v>83170.092585111168</v>
      </c>
      <c r="O28" s="256">
        <v>48971505.042007215</v>
      </c>
      <c r="P28" s="256">
        <v>888670.12019117642</v>
      </c>
      <c r="Q28" s="256">
        <v>6066108.551179871</v>
      </c>
      <c r="R28" s="256">
        <v>3276099.6916130828</v>
      </c>
      <c r="S28" s="256">
        <v>2150297.8173985863</v>
      </c>
      <c r="T28" s="256">
        <v>29024935.27692087</v>
      </c>
      <c r="U28" s="256">
        <v>42128629.753166914</v>
      </c>
      <c r="V28" s="256">
        <v>4297542.3116784859</v>
      </c>
      <c r="W28" s="256">
        <v>686705.41450837522</v>
      </c>
      <c r="X28" s="256">
        <v>2212991.4399215681</v>
      </c>
      <c r="Y28" s="256">
        <v>977434.18957187561</v>
      </c>
      <c r="Z28" s="256">
        <v>42255759.259533599</v>
      </c>
      <c r="AA28" s="256">
        <v>6254629.1154182358</v>
      </c>
      <c r="AB28" s="256">
        <v>3970379.9951310372</v>
      </c>
      <c r="AC28" s="256">
        <v>1793016.9388540576</v>
      </c>
      <c r="AD28" s="256">
        <v>18608214.588963192</v>
      </c>
      <c r="AE28" s="256">
        <v>64732.716331778887</v>
      </c>
      <c r="AF28" s="256">
        <v>9040456.7547669932</v>
      </c>
      <c r="AG28" s="262">
        <v>1352460368.7547667</v>
      </c>
    </row>
    <row r="29" spans="1:37" ht="15.75" thickBot="1" x14ac:dyDescent="0.3">
      <c r="A29" s="263" t="s">
        <v>99</v>
      </c>
      <c r="B29" s="264" t="s">
        <v>155</v>
      </c>
      <c r="C29" s="265">
        <v>707319066.34285223</v>
      </c>
      <c r="D29" s="265">
        <v>51928480.530633286</v>
      </c>
      <c r="E29" s="265">
        <v>952710.53462686867</v>
      </c>
      <c r="F29" s="265">
        <v>8030034.127010053</v>
      </c>
      <c r="G29" s="265">
        <v>3642378.5764128235</v>
      </c>
      <c r="H29" s="265">
        <v>87704.888464716278</v>
      </c>
      <c r="I29" s="265">
        <v>478223975.09233034</v>
      </c>
      <c r="J29" s="265">
        <v>81811466.174607188</v>
      </c>
      <c r="K29" s="265">
        <v>28922943.790111475</v>
      </c>
      <c r="L29" s="265">
        <v>404015.45779297949</v>
      </c>
      <c r="M29" s="265">
        <v>8680381.9593934044</v>
      </c>
      <c r="N29" s="265">
        <v>98641.389789668814</v>
      </c>
      <c r="O29" s="265">
        <v>53468441.788216576</v>
      </c>
      <c r="P29" s="265">
        <v>1590420.9699427995</v>
      </c>
      <c r="Q29" s="265">
        <v>7137015.1771787843</v>
      </c>
      <c r="R29" s="265">
        <v>683570.61007781641</v>
      </c>
      <c r="S29" s="265">
        <v>2149275.5905591594</v>
      </c>
      <c r="T29" s="265">
        <v>27269589.507892281</v>
      </c>
      <c r="U29" s="265">
        <v>43430423.083557844</v>
      </c>
      <c r="V29" s="265">
        <v>4977498.3530817656</v>
      </c>
      <c r="W29" s="265">
        <v>251337.99038712092</v>
      </c>
      <c r="X29" s="265">
        <v>2007709.8204787837</v>
      </c>
      <c r="Y29" s="265">
        <v>1102950.1962430098</v>
      </c>
      <c r="Z29" s="265">
        <v>46397191.584142625</v>
      </c>
      <c r="AA29" s="265">
        <v>11242324.418961609</v>
      </c>
      <c r="AB29" s="265">
        <v>3750034.8294552718</v>
      </c>
      <c r="AC29" s="265">
        <v>1821461.9329568709</v>
      </c>
      <c r="AD29" s="265">
        <v>17016225.045179922</v>
      </c>
      <c r="AE29" s="265">
        <v>64699.237662889696</v>
      </c>
      <c r="AF29" s="265">
        <v>9042491.6153662317</v>
      </c>
      <c r="AG29" s="266">
        <v>1603504460.6153669</v>
      </c>
      <c r="AH29" s="267">
        <f>SUM(AG24:AG29)</f>
        <v>9376043343.1826477</v>
      </c>
      <c r="AK29" s="70"/>
    </row>
    <row r="30" spans="1:37" x14ac:dyDescent="0.25">
      <c r="A30" s="257" t="s">
        <v>99</v>
      </c>
      <c r="B30" s="258" t="s">
        <v>156</v>
      </c>
      <c r="C30" s="259">
        <v>1016044729.2465733</v>
      </c>
      <c r="D30" s="259">
        <v>65023678.183169805</v>
      </c>
      <c r="E30" s="259">
        <v>1153826.1170719713</v>
      </c>
      <c r="F30" s="259">
        <v>10675376.323536549</v>
      </c>
      <c r="G30" s="259">
        <v>4138035.4288303945</v>
      </c>
      <c r="H30" s="259">
        <v>87676.700817899648</v>
      </c>
      <c r="I30" s="259">
        <v>530653091.35013783</v>
      </c>
      <c r="J30" s="259">
        <v>95277754.159277007</v>
      </c>
      <c r="K30" s="259">
        <v>31770577.352051303</v>
      </c>
      <c r="L30" s="259">
        <v>505885.79720546049</v>
      </c>
      <c r="M30" s="259">
        <v>10742244.560159342</v>
      </c>
      <c r="N30" s="259">
        <v>118188.62536369287</v>
      </c>
      <c r="O30" s="259">
        <v>67848495.325701132</v>
      </c>
      <c r="P30" s="259">
        <v>1102376.6097529356</v>
      </c>
      <c r="Q30" s="259">
        <v>8535212.3546075877</v>
      </c>
      <c r="R30" s="259">
        <v>720096.76555007568</v>
      </c>
      <c r="S30" s="259">
        <v>2148255.1001937571</v>
      </c>
      <c r="T30" s="259">
        <v>30082896.885355774</v>
      </c>
      <c r="U30" s="259">
        <v>50766065.952917643</v>
      </c>
      <c r="V30" s="259">
        <v>3724244.6004729164</v>
      </c>
      <c r="W30" s="259">
        <v>-800921.14423736569</v>
      </c>
      <c r="X30" s="259">
        <v>2376854.7598905368</v>
      </c>
      <c r="Y30" s="259">
        <v>1368508.9709166018</v>
      </c>
      <c r="Z30" s="259">
        <v>48827602.498250112</v>
      </c>
      <c r="AA30" s="259">
        <v>9269474.3908788282</v>
      </c>
      <c r="AB30" s="259">
        <v>3787420.1919652047</v>
      </c>
      <c r="AC30" s="259">
        <v>2080968.8057002092</v>
      </c>
      <c r="AD30" s="259">
        <v>15657625.310722072</v>
      </c>
      <c r="AE30" s="259">
        <v>64665.777167461631</v>
      </c>
      <c r="AF30" s="259">
        <v>9044505.7080552857</v>
      </c>
      <c r="AG30" s="260">
        <v>2022795412.7080553</v>
      </c>
    </row>
    <row r="31" spans="1:37" x14ac:dyDescent="0.25">
      <c r="A31" s="261" t="s">
        <v>99</v>
      </c>
      <c r="B31" s="255" t="s">
        <v>157</v>
      </c>
      <c r="C31" s="256">
        <v>1131755555.4395795</v>
      </c>
      <c r="D31" s="256">
        <v>71947322.302824721</v>
      </c>
      <c r="E31" s="256">
        <v>1150935.5854125284</v>
      </c>
      <c r="F31" s="256">
        <v>11576931.871223075</v>
      </c>
      <c r="G31" s="256">
        <v>4453605.3391633602</v>
      </c>
      <c r="H31" s="256">
        <v>87648.461796709453</v>
      </c>
      <c r="I31" s="256">
        <v>572011613.4002744</v>
      </c>
      <c r="J31" s="256">
        <v>99728820.112953991</v>
      </c>
      <c r="K31" s="256">
        <v>35142309.058417678</v>
      </c>
      <c r="L31" s="256">
        <v>475363.42821701494</v>
      </c>
      <c r="M31" s="256">
        <v>11060869.744270375</v>
      </c>
      <c r="N31" s="256">
        <v>158127.0412750486</v>
      </c>
      <c r="O31" s="256">
        <v>65663000.836311229</v>
      </c>
      <c r="P31" s="256">
        <v>857910.22889045277</v>
      </c>
      <c r="Q31" s="256">
        <v>10087499.896777967</v>
      </c>
      <c r="R31" s="256">
        <v>1116998.0112504675</v>
      </c>
      <c r="S31" s="256">
        <v>2147234.2413613629</v>
      </c>
      <c r="T31" s="256">
        <v>30374736.314518813</v>
      </c>
      <c r="U31" s="256">
        <v>48938676.031349547</v>
      </c>
      <c r="V31" s="256">
        <v>5093969.6637322586</v>
      </c>
      <c r="W31" s="256">
        <v>1540274.0687449817</v>
      </c>
      <c r="X31" s="256">
        <v>2414729.3228805149</v>
      </c>
      <c r="Y31" s="256">
        <v>4341144.14228056</v>
      </c>
      <c r="Z31" s="256">
        <v>50299842.103470221</v>
      </c>
      <c r="AA31" s="256">
        <v>9035477.6464606188</v>
      </c>
      <c r="AB31" s="256">
        <v>5065707.167930509</v>
      </c>
      <c r="AC31" s="256">
        <v>2064787.7098712872</v>
      </c>
      <c r="AD31" s="256">
        <v>17604655.548090428</v>
      </c>
      <c r="AE31" s="256">
        <v>64632.280670291293</v>
      </c>
      <c r="AF31" s="256">
        <v>9046496.7637513876</v>
      </c>
      <c r="AG31" s="262">
        <v>2205306873.763751</v>
      </c>
    </row>
    <row r="32" spans="1:37" x14ac:dyDescent="0.25">
      <c r="A32" s="261" t="s">
        <v>99</v>
      </c>
      <c r="B32" s="255" t="s">
        <v>158</v>
      </c>
      <c r="C32" s="256">
        <v>981605123.61218619</v>
      </c>
      <c r="D32" s="256">
        <v>64194234.574581034</v>
      </c>
      <c r="E32" s="256">
        <v>1104377.9313679268</v>
      </c>
      <c r="F32" s="256">
        <v>10219979.109993117</v>
      </c>
      <c r="G32" s="256">
        <v>3980539.7505452838</v>
      </c>
      <c r="H32" s="256">
        <v>87620.021326663351</v>
      </c>
      <c r="I32" s="256">
        <v>521232259.0555293</v>
      </c>
      <c r="J32" s="256">
        <v>91454339.339426532</v>
      </c>
      <c r="K32" s="256">
        <v>32668201.949218143</v>
      </c>
      <c r="L32" s="256">
        <v>477547.59998430318</v>
      </c>
      <c r="M32" s="256">
        <v>10451597.674536904</v>
      </c>
      <c r="N32" s="256">
        <v>146340.0841135981</v>
      </c>
      <c r="O32" s="256">
        <v>63541176.845705479</v>
      </c>
      <c r="P32" s="256">
        <v>854609.92502991937</v>
      </c>
      <c r="Q32" s="256">
        <v>9220038.1069057677</v>
      </c>
      <c r="R32" s="256">
        <v>938128.87650221982</v>
      </c>
      <c r="S32" s="256">
        <v>2146208.5430479245</v>
      </c>
      <c r="T32" s="256">
        <v>29662526.896432135</v>
      </c>
      <c r="U32" s="256">
        <v>45863338.914763547</v>
      </c>
      <c r="V32" s="256">
        <v>4993859.5507771671</v>
      </c>
      <c r="W32" s="256">
        <v>651758.36103166838</v>
      </c>
      <c r="X32" s="256">
        <v>2421030.0552779683</v>
      </c>
      <c r="Y32" s="256">
        <v>1190759.1878944505</v>
      </c>
      <c r="Z32" s="256">
        <v>49254220.826970853</v>
      </c>
      <c r="AA32" s="256">
        <v>8475123.0949751418</v>
      </c>
      <c r="AB32" s="256">
        <v>5184599.7548402939</v>
      </c>
      <c r="AC32" s="256">
        <v>2011913.7954392442</v>
      </c>
      <c r="AD32" s="256">
        <v>18324533.925769124</v>
      </c>
      <c r="AE32" s="256">
        <v>64598.635828399609</v>
      </c>
      <c r="AF32" s="256">
        <v>9048454.9309707191</v>
      </c>
      <c r="AG32" s="262">
        <v>1971469040.9309711</v>
      </c>
    </row>
    <row r="33" spans="1:37" x14ac:dyDescent="0.25">
      <c r="A33" s="261" t="s">
        <v>99</v>
      </c>
      <c r="B33" s="255" t="s">
        <v>159</v>
      </c>
      <c r="C33" s="256">
        <v>632168333.79351342</v>
      </c>
      <c r="D33" s="256">
        <v>49408861.828464888</v>
      </c>
      <c r="E33" s="256">
        <v>874135.32775246329</v>
      </c>
      <c r="F33" s="256">
        <v>7173484.0807967484</v>
      </c>
      <c r="G33" s="256">
        <v>3258127.8705189726</v>
      </c>
      <c r="H33" s="256">
        <v>87591.098953518565</v>
      </c>
      <c r="I33" s="256">
        <v>441570179.71163648</v>
      </c>
      <c r="J33" s="256">
        <v>83392131.324818075</v>
      </c>
      <c r="K33" s="256">
        <v>27134879.805388238</v>
      </c>
      <c r="L33" s="256">
        <v>379057.24515711225</v>
      </c>
      <c r="M33" s="256">
        <v>9452659.7552708946</v>
      </c>
      <c r="N33" s="256">
        <v>85931.390584621317</v>
      </c>
      <c r="O33" s="256">
        <v>56748799.770293355</v>
      </c>
      <c r="P33" s="256">
        <v>1057382.8506675879</v>
      </c>
      <c r="Q33" s="256">
        <v>7463308.701756184</v>
      </c>
      <c r="R33" s="256">
        <v>2213068.2810686277</v>
      </c>
      <c r="S33" s="256">
        <v>2145171.1633585189</v>
      </c>
      <c r="T33" s="256">
        <v>25799545.045401491</v>
      </c>
      <c r="U33" s="256">
        <v>44220428.786674865</v>
      </c>
      <c r="V33" s="256">
        <v>4043298.2428406402</v>
      </c>
      <c r="W33" s="256">
        <v>527140.53735740867</v>
      </c>
      <c r="X33" s="256">
        <v>1974167.2461727834</v>
      </c>
      <c r="Y33" s="256">
        <v>2785094.2558351983</v>
      </c>
      <c r="Z33" s="256">
        <v>45468956.279365107</v>
      </c>
      <c r="AA33" s="256">
        <v>8020583.2389604971</v>
      </c>
      <c r="AB33" s="256">
        <v>4149334.5448217089</v>
      </c>
      <c r="AC33" s="256">
        <v>1788241.9463841543</v>
      </c>
      <c r="AD33" s="256">
        <v>17798818.217422362</v>
      </c>
      <c r="AE33" s="256">
        <v>64564.658763802348</v>
      </c>
      <c r="AF33" s="256">
        <v>9050360.907011278</v>
      </c>
      <c r="AG33" s="262">
        <v>1490303637.9070106</v>
      </c>
    </row>
    <row r="34" spans="1:37" x14ac:dyDescent="0.25">
      <c r="A34" s="261" t="s">
        <v>99</v>
      </c>
      <c r="B34" s="255" t="s">
        <v>160</v>
      </c>
      <c r="C34" s="256">
        <v>527642178.85653788</v>
      </c>
      <c r="D34" s="256">
        <v>55087317.491704091</v>
      </c>
      <c r="E34" s="256">
        <v>941388.19813040341</v>
      </c>
      <c r="F34" s="256">
        <v>6726984.5756982816</v>
      </c>
      <c r="G34" s="256">
        <v>3827594.4612724385</v>
      </c>
      <c r="H34" s="256">
        <v>87561.416656838686</v>
      </c>
      <c r="I34" s="256">
        <v>430622516.51641232</v>
      </c>
      <c r="J34" s="256">
        <v>79105771.345395252</v>
      </c>
      <c r="K34" s="256">
        <v>27998625.141449533</v>
      </c>
      <c r="L34" s="256">
        <v>365106.21798374451</v>
      </c>
      <c r="M34" s="256">
        <v>7456681.2789138444</v>
      </c>
      <c r="N34" s="256">
        <v>74316.985456745693</v>
      </c>
      <c r="O34" s="256">
        <v>59526775.3599713</v>
      </c>
      <c r="P34" s="256">
        <v>1790270.8187298854</v>
      </c>
      <c r="Q34" s="256">
        <v>7273186.8892102428</v>
      </c>
      <c r="R34" s="256">
        <v>615657.30168712465</v>
      </c>
      <c r="S34" s="256">
        <v>2144115.1447900506</v>
      </c>
      <c r="T34" s="256">
        <v>27014480.28342222</v>
      </c>
      <c r="U34" s="256">
        <v>44565495.799613923</v>
      </c>
      <c r="V34" s="256">
        <v>4248293.9594087815</v>
      </c>
      <c r="W34" s="256">
        <v>280991.11837931967</v>
      </c>
      <c r="X34" s="256">
        <v>1797629.0350238008</v>
      </c>
      <c r="Y34" s="256">
        <v>1454444.6751732326</v>
      </c>
      <c r="Z34" s="256">
        <v>40271941.323869064</v>
      </c>
      <c r="AA34" s="256">
        <v>9105708.3250936586</v>
      </c>
      <c r="AB34" s="256">
        <v>3476557.0602268274</v>
      </c>
      <c r="AC34" s="256">
        <v>1463200.538333626</v>
      </c>
      <c r="AD34" s="256">
        <v>19801001.715379816</v>
      </c>
      <c r="AE34" s="256">
        <v>64530.166075731839</v>
      </c>
      <c r="AF34" s="256">
        <v>9052188.1514888462</v>
      </c>
      <c r="AG34" s="262">
        <v>1373882510.1514885</v>
      </c>
    </row>
    <row r="35" spans="1:37" x14ac:dyDescent="0.25">
      <c r="A35" s="261" t="s">
        <v>99</v>
      </c>
      <c r="B35" s="255" t="s">
        <v>161</v>
      </c>
      <c r="C35" s="256">
        <v>604584496.41000366</v>
      </c>
      <c r="D35" s="256">
        <v>87113135.183835939</v>
      </c>
      <c r="E35" s="256">
        <v>1341244.7825176641</v>
      </c>
      <c r="F35" s="256">
        <v>8537405.0069747269</v>
      </c>
      <c r="G35" s="256">
        <v>6277891.6991180526</v>
      </c>
      <c r="H35" s="256">
        <v>87504.91754991615</v>
      </c>
      <c r="I35" s="256">
        <v>451755573.9311108</v>
      </c>
      <c r="J35" s="256">
        <v>82987305.436582789</v>
      </c>
      <c r="K35" s="256">
        <v>30794848.303808462</v>
      </c>
      <c r="L35" s="256">
        <v>348709.40241159475</v>
      </c>
      <c r="M35" s="256">
        <v>5995641.0181492921</v>
      </c>
      <c r="N35" s="256">
        <v>94803.288241272137</v>
      </c>
      <c r="O35" s="256">
        <v>66387758.314692564</v>
      </c>
      <c r="P35" s="256">
        <v>2096799.9543309554</v>
      </c>
      <c r="Q35" s="256">
        <v>7054612.1641927501</v>
      </c>
      <c r="R35" s="256">
        <v>420046.3989660251</v>
      </c>
      <c r="S35" s="256">
        <v>2142062.7875133753</v>
      </c>
      <c r="T35" s="256">
        <v>25365625.473181732</v>
      </c>
      <c r="U35" s="256">
        <v>43755727.122177839</v>
      </c>
      <c r="V35" s="256">
        <v>4047184.4165035835</v>
      </c>
      <c r="W35" s="256">
        <v>275708.13703102956</v>
      </c>
      <c r="X35" s="256">
        <v>1489047.9947629324</v>
      </c>
      <c r="Y35" s="256">
        <v>1428895.8303004056</v>
      </c>
      <c r="Z35" s="256">
        <v>47779844.163234234</v>
      </c>
      <c r="AA35" s="256">
        <v>11729085.055563554</v>
      </c>
      <c r="AB35" s="256">
        <v>3899469.9142023176</v>
      </c>
      <c r="AC35" s="256">
        <v>2580577.9788874378</v>
      </c>
      <c r="AD35" s="256">
        <v>17553483.984435581</v>
      </c>
      <c r="AE35" s="256">
        <v>64462.929719391992</v>
      </c>
      <c r="AF35" s="256">
        <v>9056237.5379176568</v>
      </c>
      <c r="AG35" s="262">
        <v>1527045189.5379174</v>
      </c>
      <c r="AI35" s="70">
        <f>SUM(AG24:AG35)</f>
        <v>19966846008.181843</v>
      </c>
    </row>
    <row r="36" spans="1:37" x14ac:dyDescent="0.25">
      <c r="A36" s="261" t="s">
        <v>99</v>
      </c>
      <c r="B36" s="255" t="s">
        <v>162</v>
      </c>
      <c r="C36" s="256">
        <v>721324855.60466611</v>
      </c>
      <c r="D36" s="256">
        <v>120528398.10590303</v>
      </c>
      <c r="E36" s="256">
        <v>1730117.4645031609</v>
      </c>
      <c r="F36" s="256">
        <v>10603875.471744239</v>
      </c>
      <c r="G36" s="256">
        <v>8354201.6117690429</v>
      </c>
      <c r="H36" s="256">
        <v>87476.741414482749</v>
      </c>
      <c r="I36" s="256">
        <v>474786673.13739216</v>
      </c>
      <c r="J36" s="256">
        <v>80217533.553300023</v>
      </c>
      <c r="K36" s="256">
        <v>32191873.988017041</v>
      </c>
      <c r="L36" s="256">
        <v>372659.97299761622</v>
      </c>
      <c r="M36" s="256">
        <v>9722846.6875944436</v>
      </c>
      <c r="N36" s="256">
        <v>123900.50217062028</v>
      </c>
      <c r="O36" s="256">
        <v>64531750.081736326</v>
      </c>
      <c r="P36" s="256">
        <v>1142253.2210945147</v>
      </c>
      <c r="Q36" s="256">
        <v>7948890.0487481542</v>
      </c>
      <c r="R36" s="256">
        <v>229678.03399691798</v>
      </c>
      <c r="S36" s="256">
        <v>2141040.7729521017</v>
      </c>
      <c r="T36" s="256">
        <v>26510363.313150704</v>
      </c>
      <c r="U36" s="256">
        <v>41174208.265310273</v>
      </c>
      <c r="V36" s="256">
        <v>4175600.6055585961</v>
      </c>
      <c r="W36" s="256">
        <v>319966.75854952197</v>
      </c>
      <c r="X36" s="256">
        <v>1689989.5920400084</v>
      </c>
      <c r="Y36" s="256">
        <v>1402119.853064952</v>
      </c>
      <c r="Z36" s="256">
        <v>42376782.060038239</v>
      </c>
      <c r="AA36" s="256">
        <v>19946876.02152206</v>
      </c>
      <c r="AB36" s="256">
        <v>4251593.8659611689</v>
      </c>
      <c r="AC36" s="256">
        <v>2065456.692399435</v>
      </c>
      <c r="AD36" s="256">
        <v>17805097.474139601</v>
      </c>
      <c r="AE36" s="256">
        <v>64429.498265458635</v>
      </c>
      <c r="AF36" s="256">
        <v>9058266.2091197968</v>
      </c>
      <c r="AG36" s="262">
        <v>1706878775.2091198</v>
      </c>
    </row>
    <row r="37" spans="1:37" x14ac:dyDescent="0.25">
      <c r="A37" s="261" t="s">
        <v>99</v>
      </c>
      <c r="B37" s="255" t="s">
        <v>163</v>
      </c>
      <c r="C37" s="256">
        <v>682850805.2976408</v>
      </c>
      <c r="D37" s="256">
        <v>124231195.07322945</v>
      </c>
      <c r="E37" s="256">
        <v>1618142.0237584284</v>
      </c>
      <c r="F37" s="256">
        <v>10405248.655224595</v>
      </c>
      <c r="G37" s="256">
        <v>8618562.4612689931</v>
      </c>
      <c r="H37" s="256">
        <v>87448.488877769691</v>
      </c>
      <c r="I37" s="256">
        <v>473444219.10104662</v>
      </c>
      <c r="J37" s="256">
        <v>72926073.80669646</v>
      </c>
      <c r="K37" s="256">
        <v>29792074.765299782</v>
      </c>
      <c r="L37" s="256">
        <v>323810.10040554573</v>
      </c>
      <c r="M37" s="256">
        <v>8994813.8198469877</v>
      </c>
      <c r="N37" s="256">
        <v>104972.74964249252</v>
      </c>
      <c r="O37" s="256">
        <v>60468575.084492616</v>
      </c>
      <c r="P37" s="256">
        <v>2555447.7217809283</v>
      </c>
      <c r="Q37" s="256">
        <v>7480466.4802457178</v>
      </c>
      <c r="R37" s="256">
        <v>218938.73337547926</v>
      </c>
      <c r="S37" s="256">
        <v>2140017.637167349</v>
      </c>
      <c r="T37" s="256">
        <v>27554799.732883547</v>
      </c>
      <c r="U37" s="256">
        <v>38345194.001796395</v>
      </c>
      <c r="V37" s="256">
        <v>4284179.6995446235</v>
      </c>
      <c r="W37" s="256">
        <v>670279.14702732069</v>
      </c>
      <c r="X37" s="256">
        <v>1847735.6877283079</v>
      </c>
      <c r="Y37" s="256">
        <v>1391280.3686450759</v>
      </c>
      <c r="Z37" s="256">
        <v>40050115.308913201</v>
      </c>
      <c r="AA37" s="256">
        <v>18035188.27169862</v>
      </c>
      <c r="AB37" s="256">
        <v>4215275.6005589962</v>
      </c>
      <c r="AC37" s="256">
        <v>1854721.8220352456</v>
      </c>
      <c r="AD37" s="256">
        <v>18933611.312790893</v>
      </c>
      <c r="AE37" s="256">
        <v>64396.046377768114</v>
      </c>
      <c r="AF37" s="256">
        <v>9060280.9115663543</v>
      </c>
      <c r="AG37" s="262">
        <v>1652567869.9115667</v>
      </c>
    </row>
    <row r="38" spans="1:37" x14ac:dyDescent="0.25">
      <c r="A38" s="261" t="s">
        <v>99</v>
      </c>
      <c r="B38" s="255" t="s">
        <v>164</v>
      </c>
      <c r="C38" s="256">
        <v>617540517.77942228</v>
      </c>
      <c r="D38" s="256">
        <v>110708991.10336028</v>
      </c>
      <c r="E38" s="256">
        <v>1599090.8665527562</v>
      </c>
      <c r="F38" s="256">
        <v>9427800.478767192</v>
      </c>
      <c r="G38" s="256">
        <v>7575842.5794740226</v>
      </c>
      <c r="H38" s="256">
        <v>87420.192423450164</v>
      </c>
      <c r="I38" s="256">
        <v>470241147.27821916</v>
      </c>
      <c r="J38" s="256">
        <v>68282581.019219145</v>
      </c>
      <c r="K38" s="256">
        <v>25784011.276301511</v>
      </c>
      <c r="L38" s="256">
        <v>288483.72542615683</v>
      </c>
      <c r="M38" s="256">
        <v>7417799.8465634622</v>
      </c>
      <c r="N38" s="256">
        <v>85963.233672936534</v>
      </c>
      <c r="O38" s="256">
        <v>50794039.857546851</v>
      </c>
      <c r="P38" s="256">
        <v>1208767.6995493632</v>
      </c>
      <c r="Q38" s="256">
        <v>5800475.1814646497</v>
      </c>
      <c r="R38" s="256">
        <v>152876.79291786259</v>
      </c>
      <c r="S38" s="256">
        <v>2138994.0891190027</v>
      </c>
      <c r="T38" s="256">
        <v>30888140.364697833</v>
      </c>
      <c r="U38" s="256">
        <v>43735157.443136059</v>
      </c>
      <c r="V38" s="256">
        <v>3992876.5011045346</v>
      </c>
      <c r="W38" s="256">
        <v>585079.39655052603</v>
      </c>
      <c r="X38" s="256">
        <v>1872637.7046726102</v>
      </c>
      <c r="Y38" s="256">
        <v>1446181.4151447269</v>
      </c>
      <c r="Z38" s="256">
        <v>41352462.443429366</v>
      </c>
      <c r="AA38" s="256">
        <v>17284139.22326842</v>
      </c>
      <c r="AB38" s="256">
        <v>4481832.7395975897</v>
      </c>
      <c r="AC38" s="256">
        <v>1719375.4394567362</v>
      </c>
      <c r="AD38" s="256">
        <v>9770621.7382727414</v>
      </c>
      <c r="AE38" s="256">
        <v>64362.590668868266</v>
      </c>
      <c r="AF38" s="256">
        <v>9062285.4062016159</v>
      </c>
      <c r="AG38" s="262">
        <v>1545389955.4062018</v>
      </c>
    </row>
    <row r="39" spans="1:37" x14ac:dyDescent="0.25">
      <c r="A39" s="261" t="s">
        <v>99</v>
      </c>
      <c r="B39" s="255" t="s">
        <v>165</v>
      </c>
      <c r="C39" s="256">
        <v>533987463.11457092</v>
      </c>
      <c r="D39" s="256">
        <v>83836350.698915809</v>
      </c>
      <c r="E39" s="256">
        <v>1198076.1648133083</v>
      </c>
      <c r="F39" s="256">
        <v>7731727.9285392445</v>
      </c>
      <c r="G39" s="256">
        <v>5974655.221160356</v>
      </c>
      <c r="H39" s="256">
        <v>87391.872000288102</v>
      </c>
      <c r="I39" s="256">
        <v>438519973.8725931</v>
      </c>
      <c r="J39" s="256">
        <v>74984839.407186076</v>
      </c>
      <c r="K39" s="256">
        <v>27666624.234456137</v>
      </c>
      <c r="L39" s="256">
        <v>360670.55136275658</v>
      </c>
      <c r="M39" s="256">
        <v>9096618.7846590392</v>
      </c>
      <c r="N39" s="256">
        <v>93474.418676743109</v>
      </c>
      <c r="O39" s="256">
        <v>51298226.415067881</v>
      </c>
      <c r="P39" s="256">
        <v>893783.12857990758</v>
      </c>
      <c r="Q39" s="256">
        <v>6762810.0480119251</v>
      </c>
      <c r="R39" s="256">
        <v>531494.65923480107</v>
      </c>
      <c r="S39" s="256">
        <v>2137970.4801714439</v>
      </c>
      <c r="T39" s="256">
        <v>29602581.917225938</v>
      </c>
      <c r="U39" s="256">
        <v>41454891.640369505</v>
      </c>
      <c r="V39" s="256">
        <v>4257445.0402603177</v>
      </c>
      <c r="W39" s="256">
        <v>581886.16882292379</v>
      </c>
      <c r="X39" s="256">
        <v>909277.76284402329</v>
      </c>
      <c r="Y39" s="256">
        <v>839795.38413131749</v>
      </c>
      <c r="Z39" s="256">
        <v>40912639.673792355</v>
      </c>
      <c r="AA39" s="256">
        <v>8528963.0787765495</v>
      </c>
      <c r="AB39" s="256">
        <v>3733473.0620030658</v>
      </c>
      <c r="AC39" s="256">
        <v>1889236.3783552865</v>
      </c>
      <c r="AD39" s="256">
        <v>19067204.754930224</v>
      </c>
      <c r="AE39" s="256">
        <v>64329.138488512916</v>
      </c>
      <c r="AF39" s="256">
        <v>9064282.5710144415</v>
      </c>
      <c r="AG39" s="262">
        <v>1406068157.5710146</v>
      </c>
    </row>
    <row r="40" spans="1:37" ht="15.75" thickBot="1" x14ac:dyDescent="0.3">
      <c r="A40" s="261" t="s">
        <v>99</v>
      </c>
      <c r="B40" s="255" t="s">
        <v>166</v>
      </c>
      <c r="C40" s="256">
        <v>497936947.82440484</v>
      </c>
      <c r="D40" s="256">
        <v>62230270.173441589</v>
      </c>
      <c r="E40" s="256">
        <v>899693.64492723753</v>
      </c>
      <c r="F40" s="256">
        <v>6770482.3066033991</v>
      </c>
      <c r="G40" s="256">
        <v>4310181.5136389863</v>
      </c>
      <c r="H40" s="256">
        <v>87363.536983963844</v>
      </c>
      <c r="I40" s="256">
        <v>420433115.96292269</v>
      </c>
      <c r="J40" s="256">
        <v>72179661.373481676</v>
      </c>
      <c r="K40" s="256">
        <v>25475366.789500855</v>
      </c>
      <c r="L40" s="256">
        <v>351059.56732629077</v>
      </c>
      <c r="M40" s="256">
        <v>8367093.4836253775</v>
      </c>
      <c r="N40" s="256">
        <v>81266.995748465852</v>
      </c>
      <c r="O40" s="256">
        <v>47695053.454981938</v>
      </c>
      <c r="P40" s="256">
        <v>788660.74853528733</v>
      </c>
      <c r="Q40" s="256">
        <v>6050924.9791934816</v>
      </c>
      <c r="R40" s="256">
        <v>2839975.7708785073</v>
      </c>
      <c r="S40" s="256">
        <v>2136946.8738053446</v>
      </c>
      <c r="T40" s="256">
        <v>28483552.439716771</v>
      </c>
      <c r="U40" s="256">
        <v>41542026.650323763</v>
      </c>
      <c r="V40" s="256">
        <v>4255054.1910340805</v>
      </c>
      <c r="W40" s="256">
        <v>677735.9185137453</v>
      </c>
      <c r="X40" s="256">
        <v>2100023.4894488822</v>
      </c>
      <c r="Y40" s="256">
        <v>989728.57555927977</v>
      </c>
      <c r="Z40" s="256">
        <v>42306297.550554283</v>
      </c>
      <c r="AA40" s="256">
        <v>5344518.9491861416</v>
      </c>
      <c r="AB40" s="256">
        <v>3877056.54641301</v>
      </c>
      <c r="AC40" s="256">
        <v>1788156.6699387862</v>
      </c>
      <c r="AD40" s="256">
        <v>18017268.328678314</v>
      </c>
      <c r="AE40" s="256">
        <v>64295.69063294676</v>
      </c>
      <c r="AF40" s="256">
        <v>9066274.5370784868</v>
      </c>
      <c r="AG40" s="262">
        <v>1317146054.5370789</v>
      </c>
    </row>
    <row r="41" spans="1:37" ht="15.75" thickBot="1" x14ac:dyDescent="0.3">
      <c r="A41" s="263" t="s">
        <v>99</v>
      </c>
      <c r="B41" s="264" t="s">
        <v>167</v>
      </c>
      <c r="C41" s="265">
        <v>702430815.79754901</v>
      </c>
      <c r="D41" s="265">
        <v>52581189.001710765</v>
      </c>
      <c r="E41" s="265">
        <v>949249.62031668925</v>
      </c>
      <c r="F41" s="265">
        <v>8026306.1594013236</v>
      </c>
      <c r="G41" s="265">
        <v>3696362.2316547385</v>
      </c>
      <c r="H41" s="265">
        <v>87335.18936746371</v>
      </c>
      <c r="I41" s="265">
        <v>453819940.54595596</v>
      </c>
      <c r="J41" s="265">
        <v>81339847.115479067</v>
      </c>
      <c r="K41" s="265">
        <v>28598140.00831471</v>
      </c>
      <c r="L41" s="265">
        <v>398816.94636951032</v>
      </c>
      <c r="M41" s="265">
        <v>8568690.5280246958</v>
      </c>
      <c r="N41" s="265">
        <v>98738.843451933033</v>
      </c>
      <c r="O41" s="265">
        <v>52946217.895660542</v>
      </c>
      <c r="P41" s="265">
        <v>1516113.4423505575</v>
      </c>
      <c r="Q41" s="265">
        <v>7056986.328489366</v>
      </c>
      <c r="R41" s="265">
        <v>759263.19130574516</v>
      </c>
      <c r="S41" s="265">
        <v>2135923.1545978864</v>
      </c>
      <c r="T41" s="265">
        <v>26968676.310955264</v>
      </c>
      <c r="U41" s="265">
        <v>42218369.772843957</v>
      </c>
      <c r="V41" s="265">
        <v>4693825.7354468238</v>
      </c>
      <c r="W41" s="265">
        <v>346949.98636089533</v>
      </c>
      <c r="X41" s="265">
        <v>1948886.734051791</v>
      </c>
      <c r="Y41" s="265">
        <v>1093950.6875939628</v>
      </c>
      <c r="Z41" s="265">
        <v>45383017.298022725</v>
      </c>
      <c r="AA41" s="265">
        <v>11938086.911378775</v>
      </c>
      <c r="AB41" s="265">
        <v>3601387.4702977627</v>
      </c>
      <c r="AC41" s="265">
        <v>1796178.6394104296</v>
      </c>
      <c r="AD41" s="265">
        <v>16475114.208275031</v>
      </c>
      <c r="AE41" s="265">
        <v>64262.245362565234</v>
      </c>
      <c r="AF41" s="265">
        <v>9068262.9168008026</v>
      </c>
      <c r="AG41" s="266">
        <v>1570606904.9168005</v>
      </c>
      <c r="AH41" s="267">
        <f>SUM(AG30:AG41)</f>
        <v>19789460382.55098</v>
      </c>
      <c r="AK41" s="70"/>
    </row>
    <row r="42" spans="1:37" x14ac:dyDescent="0.25">
      <c r="A42" s="257" t="s">
        <v>99</v>
      </c>
      <c r="B42" s="258" t="s">
        <v>168</v>
      </c>
      <c r="C42" s="259">
        <v>1015302647.7472707</v>
      </c>
      <c r="D42" s="259">
        <v>65167821.905268677</v>
      </c>
      <c r="E42" s="259">
        <v>1160274.9390506209</v>
      </c>
      <c r="F42" s="259">
        <v>10708109.925322259</v>
      </c>
      <c r="G42" s="259">
        <v>4187538.6546431696</v>
      </c>
      <c r="H42" s="259">
        <v>87306.828444667379</v>
      </c>
      <c r="I42" s="259">
        <v>509362890.78288907</v>
      </c>
      <c r="J42" s="259">
        <v>93913237.922729969</v>
      </c>
      <c r="K42" s="259">
        <v>31510602.65679501</v>
      </c>
      <c r="L42" s="259">
        <v>497327.09670722677</v>
      </c>
      <c r="M42" s="259">
        <v>10560504.621269848</v>
      </c>
      <c r="N42" s="259">
        <v>118036.19340151733</v>
      </c>
      <c r="O42" s="259">
        <v>65015789.004858054</v>
      </c>
      <c r="P42" s="259">
        <v>1016264.8155831278</v>
      </c>
      <c r="Q42" s="259">
        <v>8392990.8726159371</v>
      </c>
      <c r="R42" s="259">
        <v>658510.86354156898</v>
      </c>
      <c r="S42" s="259">
        <v>2134899.1696087723</v>
      </c>
      <c r="T42" s="259">
        <v>29421885.281126373</v>
      </c>
      <c r="U42" s="259">
        <v>49045358.68826092</v>
      </c>
      <c r="V42" s="259">
        <v>3945352.4955855254</v>
      </c>
      <c r="W42" s="259">
        <v>-398689.28628485632</v>
      </c>
      <c r="X42" s="259">
        <v>2326723.7205155091</v>
      </c>
      <c r="Y42" s="259">
        <v>1368265.3087164748</v>
      </c>
      <c r="Z42" s="259">
        <v>47705986.285106063</v>
      </c>
      <c r="AA42" s="259">
        <v>9079016.1601946261</v>
      </c>
      <c r="AB42" s="259">
        <v>3540959.8491655313</v>
      </c>
      <c r="AC42" s="259">
        <v>2047670.9160039178</v>
      </c>
      <c r="AD42" s="259">
        <v>15866669.78021667</v>
      </c>
      <c r="AE42" s="259">
        <v>64228.801393187365</v>
      </c>
      <c r="AF42" s="259">
        <v>9070249.1470841914</v>
      </c>
      <c r="AG42" s="260">
        <v>1992878431.147085</v>
      </c>
    </row>
    <row r="43" spans="1:37" x14ac:dyDescent="0.25">
      <c r="A43" s="261" t="s">
        <v>99</v>
      </c>
      <c r="B43" s="255" t="s">
        <v>169</v>
      </c>
      <c r="C43" s="256">
        <v>1133364009.8374083</v>
      </c>
      <c r="D43" s="256">
        <v>72278710.839528516</v>
      </c>
      <c r="E43" s="256">
        <v>1143929.4983455499</v>
      </c>
      <c r="F43" s="256">
        <v>11661686.700406536</v>
      </c>
      <c r="G43" s="256">
        <v>4522876.6669367375</v>
      </c>
      <c r="H43" s="256">
        <v>87278.457374683887</v>
      </c>
      <c r="I43" s="256">
        <v>554311255.68327665</v>
      </c>
      <c r="J43" s="256">
        <v>96499646.487616718</v>
      </c>
      <c r="K43" s="256">
        <v>34201490.062419049</v>
      </c>
      <c r="L43" s="256">
        <v>461733.13841764332</v>
      </c>
      <c r="M43" s="256">
        <v>10743716.906886596</v>
      </c>
      <c r="N43" s="256">
        <v>147249.63168717234</v>
      </c>
      <c r="O43" s="256">
        <v>63044006.091971137</v>
      </c>
      <c r="P43" s="256">
        <v>742435.19335770549</v>
      </c>
      <c r="Q43" s="256">
        <v>9781255.5139616337</v>
      </c>
      <c r="R43" s="256">
        <v>948938.36300590227</v>
      </c>
      <c r="S43" s="256">
        <v>2133874.9273996712</v>
      </c>
      <c r="T43" s="256">
        <v>30255313.439078953</v>
      </c>
      <c r="U43" s="256">
        <v>47719967.229839407</v>
      </c>
      <c r="V43" s="256">
        <v>5005543.9689249899</v>
      </c>
      <c r="W43" s="256">
        <v>1336292.1127759332</v>
      </c>
      <c r="X43" s="256">
        <v>2323265.9338469403</v>
      </c>
      <c r="Y43" s="256">
        <v>3558988.9416127093</v>
      </c>
      <c r="Z43" s="256">
        <v>49561886.556705877</v>
      </c>
      <c r="AA43" s="256">
        <v>9030626.1552581657</v>
      </c>
      <c r="AB43" s="256">
        <v>5103938.5410750955</v>
      </c>
      <c r="AC43" s="256">
        <v>2012537.7269610176</v>
      </c>
      <c r="AD43" s="256">
        <v>17624430.032112949</v>
      </c>
      <c r="AE43" s="256">
        <v>64195.361807963702</v>
      </c>
      <c r="AF43" s="256">
        <v>9072234.9743040558</v>
      </c>
      <c r="AG43" s="262">
        <v>2178743314.9743047</v>
      </c>
    </row>
    <row r="44" spans="1:37" x14ac:dyDescent="0.25">
      <c r="A44" s="261" t="s">
        <v>99</v>
      </c>
      <c r="B44" s="255" t="s">
        <v>170</v>
      </c>
      <c r="C44" s="256">
        <v>982011662.15198159</v>
      </c>
      <c r="D44" s="256">
        <v>64236091.823236413</v>
      </c>
      <c r="E44" s="256">
        <v>1109707.452894591</v>
      </c>
      <c r="F44" s="256">
        <v>10271876.21423172</v>
      </c>
      <c r="G44" s="256">
        <v>4021914.2656150623</v>
      </c>
      <c r="H44" s="256">
        <v>87250.092040478252</v>
      </c>
      <c r="I44" s="256">
        <v>499252093.15480387</v>
      </c>
      <c r="J44" s="256">
        <v>90957808.332660839</v>
      </c>
      <c r="K44" s="256">
        <v>32256181.791968361</v>
      </c>
      <c r="L44" s="256">
        <v>469075.92813941452</v>
      </c>
      <c r="M44" s="256">
        <v>10266186.825950526</v>
      </c>
      <c r="N44" s="256">
        <v>131833.82853384706</v>
      </c>
      <c r="O44" s="256">
        <v>62394262.137633175</v>
      </c>
      <c r="P44" s="256">
        <v>751741.90295993572</v>
      </c>
      <c r="Q44" s="256">
        <v>9016917.1457133982</v>
      </c>
      <c r="R44" s="256">
        <v>843297.14421710442</v>
      </c>
      <c r="S44" s="256">
        <v>2132850.8074195371</v>
      </c>
      <c r="T44" s="256">
        <v>29730054.728723463</v>
      </c>
      <c r="U44" s="256">
        <v>44693943.252611771</v>
      </c>
      <c r="V44" s="256">
        <v>4874445.7867528182</v>
      </c>
      <c r="W44" s="256">
        <v>633164.22532653972</v>
      </c>
      <c r="X44" s="256">
        <v>2277115.5596385542</v>
      </c>
      <c r="Y44" s="256">
        <v>1161514.9874505787</v>
      </c>
      <c r="Z44" s="256">
        <v>48026816.87984281</v>
      </c>
      <c r="AA44" s="256">
        <v>8450683.8772576246</v>
      </c>
      <c r="AB44" s="256">
        <v>4990369.0546685681</v>
      </c>
      <c r="AC44" s="256">
        <v>1996589.1934732751</v>
      </c>
      <c r="AD44" s="256">
        <v>17842147.515007552</v>
      </c>
      <c r="AE44" s="256">
        <v>64161.939246440452</v>
      </c>
      <c r="AF44" s="256">
        <v>9074223.1135141123</v>
      </c>
      <c r="AG44" s="262">
        <v>1944025981.1135139</v>
      </c>
    </row>
    <row r="45" spans="1:37" x14ac:dyDescent="0.25">
      <c r="A45" s="261" t="s">
        <v>99</v>
      </c>
      <c r="B45" s="255" t="s">
        <v>171</v>
      </c>
      <c r="C45" s="256">
        <v>630166737.22230136</v>
      </c>
      <c r="D45" s="256">
        <v>48665853.284439445</v>
      </c>
      <c r="E45" s="256">
        <v>852431.96827192628</v>
      </c>
      <c r="F45" s="256">
        <v>7134126.7062881049</v>
      </c>
      <c r="G45" s="256">
        <v>3232669.0457694815</v>
      </c>
      <c r="H45" s="256">
        <v>87221.772929691389</v>
      </c>
      <c r="I45" s="256">
        <v>423376393.24991953</v>
      </c>
      <c r="J45" s="256">
        <v>81008261.177515343</v>
      </c>
      <c r="K45" s="256">
        <v>26473879.847276784</v>
      </c>
      <c r="L45" s="256">
        <v>366262.60062925203</v>
      </c>
      <c r="M45" s="256">
        <v>9133596.0176515989</v>
      </c>
      <c r="N45" s="256">
        <v>85099.470429695721</v>
      </c>
      <c r="O45" s="256">
        <v>54924316.666338734</v>
      </c>
      <c r="P45" s="256">
        <v>1014128.549047025</v>
      </c>
      <c r="Q45" s="256">
        <v>7174112.4907907452</v>
      </c>
      <c r="R45" s="256">
        <v>2268273.1431545671</v>
      </c>
      <c r="S45" s="256">
        <v>2131827.7872467455</v>
      </c>
      <c r="T45" s="256">
        <v>25783032.364527609</v>
      </c>
      <c r="U45" s="256">
        <v>43282974.165245079</v>
      </c>
      <c r="V45" s="256">
        <v>4078538.8748144605</v>
      </c>
      <c r="W45" s="256">
        <v>512742.26345982141</v>
      </c>
      <c r="X45" s="256">
        <v>1891465.6774905794</v>
      </c>
      <c r="Y45" s="256">
        <v>2313435.0418150509</v>
      </c>
      <c r="Z45" s="256">
        <v>44373235.837408677</v>
      </c>
      <c r="AA45" s="256">
        <v>7934905.228919154</v>
      </c>
      <c r="AB45" s="256">
        <v>4167853.5274707763</v>
      </c>
      <c r="AC45" s="256">
        <v>1774556.7252945115</v>
      </c>
      <c r="AD45" s="256">
        <v>17035294.730919924</v>
      </c>
      <c r="AE45" s="256">
        <v>64128.562634320289</v>
      </c>
      <c r="AF45" s="256">
        <v>9076218.1188377496</v>
      </c>
      <c r="AG45" s="262">
        <v>1460383572.1188378</v>
      </c>
    </row>
    <row r="46" spans="1:37" x14ac:dyDescent="0.25">
      <c r="A46" s="261" t="s">
        <v>99</v>
      </c>
      <c r="B46" s="255" t="s">
        <v>172</v>
      </c>
      <c r="C46" s="256">
        <v>525564101.24313354</v>
      </c>
      <c r="D46" s="256">
        <v>54521260.538436726</v>
      </c>
      <c r="E46" s="256">
        <v>932425.12268276967</v>
      </c>
      <c r="F46" s="256">
        <v>6657559.6359422682</v>
      </c>
      <c r="G46" s="256">
        <v>3789550.8928287216</v>
      </c>
      <c r="H46" s="256">
        <v>87193.566976049784</v>
      </c>
      <c r="I46" s="256">
        <v>412398897.41299844</v>
      </c>
      <c r="J46" s="256">
        <v>78047963.747357458</v>
      </c>
      <c r="K46" s="256">
        <v>27606597.712626074</v>
      </c>
      <c r="L46" s="256">
        <v>355477.88207138097</v>
      </c>
      <c r="M46" s="256">
        <v>7260038.6894194866</v>
      </c>
      <c r="N46" s="256">
        <v>72390.813920723347</v>
      </c>
      <c r="O46" s="256">
        <v>57774027.204660021</v>
      </c>
      <c r="P46" s="256">
        <v>1484742.7113425939</v>
      </c>
      <c r="Q46" s="256">
        <v>6996508.3921915125</v>
      </c>
      <c r="R46" s="256">
        <v>677601.93170444237</v>
      </c>
      <c r="S46" s="256">
        <v>2130807.5017078333</v>
      </c>
      <c r="T46" s="256">
        <v>27217938.549077779</v>
      </c>
      <c r="U46" s="256">
        <v>43034426.961645611</v>
      </c>
      <c r="V46" s="256">
        <v>4253672.2143975552</v>
      </c>
      <c r="W46" s="256">
        <v>274565.07767985953</v>
      </c>
      <c r="X46" s="256">
        <v>1742035.5664332355</v>
      </c>
      <c r="Y46" s="256">
        <v>1319148.0839682424</v>
      </c>
      <c r="Z46" s="256">
        <v>39028272.720349483</v>
      </c>
      <c r="AA46" s="256">
        <v>9002451.889423579</v>
      </c>
      <c r="AB46" s="256">
        <v>3424318.5937544024</v>
      </c>
      <c r="AC46" s="256">
        <v>1602570.2398847227</v>
      </c>
      <c r="AD46" s="256">
        <v>19438788.824892297</v>
      </c>
      <c r="AE46" s="256">
        <v>64095.278493189733</v>
      </c>
      <c r="AF46" s="256">
        <v>9078227.1429866459</v>
      </c>
      <c r="AG46" s="262">
        <v>1345837656.1429863</v>
      </c>
    </row>
    <row r="47" spans="1:37" x14ac:dyDescent="0.25">
      <c r="A47" s="261" t="s">
        <v>99</v>
      </c>
      <c r="B47" s="255" t="s">
        <v>173</v>
      </c>
      <c r="C47" s="256">
        <v>603408520.2982564</v>
      </c>
      <c r="D47" s="256">
        <v>86259488.48155421</v>
      </c>
      <c r="E47" s="256">
        <v>1331125.1265138867</v>
      </c>
      <c r="F47" s="256">
        <v>8521745.8941025026</v>
      </c>
      <c r="G47" s="256">
        <v>6300486.7781017181</v>
      </c>
      <c r="H47" s="256">
        <v>87137.421471386522</v>
      </c>
      <c r="I47" s="256">
        <v>433473803.53849697</v>
      </c>
      <c r="J47" s="256">
        <v>81952047.927033558</v>
      </c>
      <c r="K47" s="256">
        <v>30395006.491625801</v>
      </c>
      <c r="L47" s="256">
        <v>340374.29314145236</v>
      </c>
      <c r="M47" s="256">
        <v>5852328.785427114</v>
      </c>
      <c r="N47" s="256">
        <v>97129.405652905945</v>
      </c>
      <c r="O47" s="256">
        <v>65277129.873963423</v>
      </c>
      <c r="P47" s="256">
        <v>1543309.1171922293</v>
      </c>
      <c r="Q47" s="256">
        <v>6820536.5193739142</v>
      </c>
      <c r="R47" s="256">
        <v>360405.88023391075</v>
      </c>
      <c r="S47" s="256">
        <v>2128773.1678587012</v>
      </c>
      <c r="T47" s="256">
        <v>25233207.35603347</v>
      </c>
      <c r="U47" s="256">
        <v>43308129.867526062</v>
      </c>
      <c r="V47" s="256">
        <v>3965716.0681497236</v>
      </c>
      <c r="W47" s="256">
        <v>268910.39886189811</v>
      </c>
      <c r="X47" s="256">
        <v>1396125.3279128587</v>
      </c>
      <c r="Y47" s="256">
        <v>1294118.0238846329</v>
      </c>
      <c r="Z47" s="256">
        <v>47666722.102656007</v>
      </c>
      <c r="AA47" s="256">
        <v>10199804.809211012</v>
      </c>
      <c r="AB47" s="256">
        <v>3816525.8586357813</v>
      </c>
      <c r="AC47" s="256">
        <v>2387183.2233098005</v>
      </c>
      <c r="AD47" s="256">
        <v>17120693.028872285</v>
      </c>
      <c r="AE47" s="256">
        <v>64028.934946482368</v>
      </c>
      <c r="AF47" s="256">
        <v>9082285.4966487773</v>
      </c>
      <c r="AG47" s="262">
        <v>1499952799.4966488</v>
      </c>
      <c r="AI47" s="70">
        <f>SUM(AG36:AG47)</f>
        <v>19620479472.545158</v>
      </c>
    </row>
    <row r="48" spans="1:37" x14ac:dyDescent="0.25">
      <c r="A48" s="261" t="s">
        <v>99</v>
      </c>
      <c r="B48" s="255" t="s">
        <v>174</v>
      </c>
      <c r="C48" s="256">
        <v>721418076.53399062</v>
      </c>
      <c r="D48" s="256">
        <v>120092104.08456384</v>
      </c>
      <c r="E48" s="256">
        <v>1731504.9719235795</v>
      </c>
      <c r="F48" s="256">
        <v>10613703.57525946</v>
      </c>
      <c r="G48" s="256">
        <v>8431918.5919649526</v>
      </c>
      <c r="H48" s="256">
        <v>87109.242297517179</v>
      </c>
      <c r="I48" s="256">
        <v>457081405.18357223</v>
      </c>
      <c r="J48" s="256">
        <v>78913070.81112884</v>
      </c>
      <c r="K48" s="256">
        <v>31323839.438586369</v>
      </c>
      <c r="L48" s="256">
        <v>364454.43877023645</v>
      </c>
      <c r="M48" s="256">
        <v>9508761.0409904476</v>
      </c>
      <c r="N48" s="256">
        <v>129338.91919508638</v>
      </c>
      <c r="O48" s="256">
        <v>63381969.984902166</v>
      </c>
      <c r="P48" s="256">
        <v>1129639.6112206699</v>
      </c>
      <c r="Q48" s="256">
        <v>7493338.4700971488</v>
      </c>
      <c r="R48" s="256">
        <v>222082.58069715818</v>
      </c>
      <c r="S48" s="256">
        <v>2127754.5208396632</v>
      </c>
      <c r="T48" s="256">
        <v>26746762.552619804</v>
      </c>
      <c r="U48" s="256">
        <v>40697691.965280578</v>
      </c>
      <c r="V48" s="256">
        <v>4159820.5881402395</v>
      </c>
      <c r="W48" s="256">
        <v>316507.53136372328</v>
      </c>
      <c r="X48" s="256">
        <v>1658168.6438192287</v>
      </c>
      <c r="Y48" s="256">
        <v>1296766.4592878183</v>
      </c>
      <c r="Z48" s="256">
        <v>41822976.19331944</v>
      </c>
      <c r="AA48" s="256">
        <v>17697092.676722147</v>
      </c>
      <c r="AB48" s="256">
        <v>4206365.1029439475</v>
      </c>
      <c r="AC48" s="256">
        <v>2037888.6881951177</v>
      </c>
      <c r="AD48" s="256">
        <v>17612602.861550625</v>
      </c>
      <c r="AE48" s="256">
        <v>63995.736757354563</v>
      </c>
      <c r="AF48" s="256">
        <v>9084293.6274311189</v>
      </c>
      <c r="AG48" s="262">
        <v>1681451004.6274309</v>
      </c>
    </row>
    <row r="49" spans="1:37" x14ac:dyDescent="0.25">
      <c r="A49" s="261" t="s">
        <v>99</v>
      </c>
      <c r="B49" s="255" t="s">
        <v>175</v>
      </c>
      <c r="C49" s="256">
        <v>680263032.80001915</v>
      </c>
      <c r="D49" s="256">
        <v>125123615.2526979</v>
      </c>
      <c r="E49" s="256">
        <v>1601058.9680062865</v>
      </c>
      <c r="F49" s="256">
        <v>10431614.814298823</v>
      </c>
      <c r="G49" s="256">
        <v>8803555.095791148</v>
      </c>
      <c r="H49" s="256">
        <v>87081.069186827095</v>
      </c>
      <c r="I49" s="256">
        <v>458707372.63181353</v>
      </c>
      <c r="J49" s="256">
        <v>70101054.59502238</v>
      </c>
      <c r="K49" s="256">
        <v>28566845.710775755</v>
      </c>
      <c r="L49" s="256">
        <v>306610.1506029297</v>
      </c>
      <c r="M49" s="256">
        <v>8517032.7191602476</v>
      </c>
      <c r="N49" s="256">
        <v>104848.22277331585</v>
      </c>
      <c r="O49" s="256">
        <v>57798138.417558931</v>
      </c>
      <c r="P49" s="256">
        <v>2638555.7727973368</v>
      </c>
      <c r="Q49" s="256">
        <v>6933041.653477299</v>
      </c>
      <c r="R49" s="256">
        <v>215341.8792134751</v>
      </c>
      <c r="S49" s="256">
        <v>2126736.2468049824</v>
      </c>
      <c r="T49" s="256">
        <v>27754273.478836402</v>
      </c>
      <c r="U49" s="256">
        <v>38248351.993913598</v>
      </c>
      <c r="V49" s="256">
        <v>4266732.0179735832</v>
      </c>
      <c r="W49" s="256">
        <v>648425.68428443675</v>
      </c>
      <c r="X49" s="256">
        <v>1863558.3656216953</v>
      </c>
      <c r="Y49" s="256">
        <v>1238960.0074446215</v>
      </c>
      <c r="Z49" s="256">
        <v>39444990.91095949</v>
      </c>
      <c r="AA49" s="256">
        <v>15529871.411665333</v>
      </c>
      <c r="AB49" s="256">
        <v>4176921.7616060423</v>
      </c>
      <c r="AC49" s="256">
        <v>1799668.9599078577</v>
      </c>
      <c r="AD49" s="256">
        <v>18316308.848217197</v>
      </c>
      <c r="AE49" s="256">
        <v>63962.559569701676</v>
      </c>
      <c r="AF49" s="256">
        <v>9086301.2079067621</v>
      </c>
      <c r="AG49" s="262">
        <v>1624763863.207907</v>
      </c>
    </row>
    <row r="50" spans="1:37" x14ac:dyDescent="0.25">
      <c r="A50" s="261" t="s">
        <v>99</v>
      </c>
      <c r="B50" s="255" t="s">
        <v>176</v>
      </c>
      <c r="C50" s="256">
        <v>613002851.91118646</v>
      </c>
      <c r="D50" s="256">
        <v>111369014.33035143</v>
      </c>
      <c r="E50" s="256">
        <v>1620280.8377686045</v>
      </c>
      <c r="F50" s="256">
        <v>9422868.3188098352</v>
      </c>
      <c r="G50" s="256">
        <v>7652629.6955940071</v>
      </c>
      <c r="H50" s="256">
        <v>87052.906289647144</v>
      </c>
      <c r="I50" s="256">
        <v>455626250.62014526</v>
      </c>
      <c r="J50" s="256">
        <v>64512840.214487538</v>
      </c>
      <c r="K50" s="256">
        <v>24295649.713089779</v>
      </c>
      <c r="L50" s="256">
        <v>267113.4140636099</v>
      </c>
      <c r="M50" s="256">
        <v>6868303.7108215149</v>
      </c>
      <c r="N50" s="256">
        <v>84292.282923589926</v>
      </c>
      <c r="O50" s="256">
        <v>46970541.43183019</v>
      </c>
      <c r="P50" s="256">
        <v>1201227.2479546834</v>
      </c>
      <c r="Q50" s="256">
        <v>5315116.5184766371</v>
      </c>
      <c r="R50" s="256">
        <v>141805.4353470378</v>
      </c>
      <c r="S50" s="256">
        <v>2125718.4108601636</v>
      </c>
      <c r="T50" s="256">
        <v>31788648.827645618</v>
      </c>
      <c r="U50" s="256">
        <v>42600940.618019342</v>
      </c>
      <c r="V50" s="256">
        <v>3979920.0957930507</v>
      </c>
      <c r="W50" s="256">
        <v>571953.12854872656</v>
      </c>
      <c r="X50" s="256">
        <v>1948107.0928375972</v>
      </c>
      <c r="Y50" s="256">
        <v>1297101.7777321239</v>
      </c>
      <c r="Z50" s="256">
        <v>40870505.660976663</v>
      </c>
      <c r="AA50" s="256">
        <v>15054358.261028543</v>
      </c>
      <c r="AB50" s="256">
        <v>4377636.1830253704</v>
      </c>
      <c r="AC50" s="256">
        <v>1719156.305428389</v>
      </c>
      <c r="AD50" s="256">
        <v>9551417.6435175426</v>
      </c>
      <c r="AE50" s="256">
        <v>63929.405447080317</v>
      </c>
      <c r="AF50" s="256">
        <v>9088309.0453974213</v>
      </c>
      <c r="AG50" s="262">
        <v>1513475541.0453975</v>
      </c>
    </row>
    <row r="51" spans="1:37" x14ac:dyDescent="0.25">
      <c r="A51" s="261" t="s">
        <v>99</v>
      </c>
      <c r="B51" s="255" t="s">
        <v>177</v>
      </c>
      <c r="C51" s="256">
        <v>529378439.22450078</v>
      </c>
      <c r="D51" s="256">
        <v>83228715.812504649</v>
      </c>
      <c r="E51" s="256">
        <v>1192697.7018542967</v>
      </c>
      <c r="F51" s="256">
        <v>7649607.846084415</v>
      </c>
      <c r="G51" s="256">
        <v>5906530.6586117074</v>
      </c>
      <c r="H51" s="256">
        <v>87024.756444088242</v>
      </c>
      <c r="I51" s="256">
        <v>419577085.60131955</v>
      </c>
      <c r="J51" s="256">
        <v>71780287.581565365</v>
      </c>
      <c r="K51" s="256">
        <v>26360985.267282113</v>
      </c>
      <c r="L51" s="256">
        <v>344347.09896595537</v>
      </c>
      <c r="M51" s="256">
        <v>8684918.3473979943</v>
      </c>
      <c r="N51" s="256">
        <v>88433.127815389147</v>
      </c>
      <c r="O51" s="256">
        <v>49370706.768204793</v>
      </c>
      <c r="P51" s="256">
        <v>854590.27130512113</v>
      </c>
      <c r="Q51" s="256">
        <v>6444002.1221100623</v>
      </c>
      <c r="R51" s="256">
        <v>537832.75965492509</v>
      </c>
      <c r="S51" s="256">
        <v>2124701.0543787847</v>
      </c>
      <c r="T51" s="256">
        <v>29854415.293528464</v>
      </c>
      <c r="U51" s="256">
        <v>40387025.723712854</v>
      </c>
      <c r="V51" s="256">
        <v>4144731.9553062734</v>
      </c>
      <c r="W51" s="256">
        <v>565365.02891759237</v>
      </c>
      <c r="X51" s="256">
        <v>858267.51087470376</v>
      </c>
      <c r="Y51" s="256">
        <v>823980.42306373129</v>
      </c>
      <c r="Z51" s="256">
        <v>39323663.844194062</v>
      </c>
      <c r="AA51" s="256">
        <v>8282145.3340728963</v>
      </c>
      <c r="AB51" s="256">
        <v>3617593.1638217578</v>
      </c>
      <c r="AC51" s="256">
        <v>1821113.0651498889</v>
      </c>
      <c r="AD51" s="256">
        <v>18656146.381346829</v>
      </c>
      <c r="AE51" s="256">
        <v>63896.276010960144</v>
      </c>
      <c r="AF51" s="256">
        <v>9090317.7741560861</v>
      </c>
      <c r="AG51" s="262">
        <v>1371099567.7741561</v>
      </c>
    </row>
    <row r="52" spans="1:37" ht="15.75" thickBot="1" x14ac:dyDescent="0.3">
      <c r="A52" s="261" t="s">
        <v>99</v>
      </c>
      <c r="B52" s="255" t="s">
        <v>178</v>
      </c>
      <c r="C52" s="256">
        <v>492405361.94803816</v>
      </c>
      <c r="D52" s="256">
        <v>61569379.568637572</v>
      </c>
      <c r="E52" s="256">
        <v>887138.40342838876</v>
      </c>
      <c r="F52" s="256">
        <v>6680572.1740241749</v>
      </c>
      <c r="G52" s="256">
        <v>4221534.2839265624</v>
      </c>
      <c r="H52" s="256">
        <v>86996.621945175153</v>
      </c>
      <c r="I52" s="256">
        <v>401422540.83449304</v>
      </c>
      <c r="J52" s="256">
        <v>68438122.937308609</v>
      </c>
      <c r="K52" s="256">
        <v>24109045.970002446</v>
      </c>
      <c r="L52" s="256">
        <v>331639.41646900104</v>
      </c>
      <c r="M52" s="256">
        <v>7904236.9407127481</v>
      </c>
      <c r="N52" s="256">
        <v>75527.793721878654</v>
      </c>
      <c r="O52" s="256">
        <v>45254518.018026114</v>
      </c>
      <c r="P52" s="256">
        <v>796582.63341590122</v>
      </c>
      <c r="Q52" s="256">
        <v>5690802.7665209481</v>
      </c>
      <c r="R52" s="256">
        <v>2859813.4724525223</v>
      </c>
      <c r="S52" s="256">
        <v>2123684.2168768481</v>
      </c>
      <c r="T52" s="256">
        <v>28683730.642193217</v>
      </c>
      <c r="U52" s="256">
        <v>40214597.554322019</v>
      </c>
      <c r="V52" s="256">
        <v>4117971.1028233487</v>
      </c>
      <c r="W52" s="256">
        <v>655482.13285504538</v>
      </c>
      <c r="X52" s="256">
        <v>2049464.2873769002</v>
      </c>
      <c r="Y52" s="256">
        <v>946981.15689842147</v>
      </c>
      <c r="Z52" s="256">
        <v>40442231.31821721</v>
      </c>
      <c r="AA52" s="256">
        <v>5370452.8816734469</v>
      </c>
      <c r="AB52" s="256">
        <v>3715740.0435170094</v>
      </c>
      <c r="AC52" s="256">
        <v>1716717.7636441011</v>
      </c>
      <c r="AD52" s="256">
        <v>17718148.943531983</v>
      </c>
      <c r="AE52" s="256">
        <v>63863.172947317376</v>
      </c>
      <c r="AF52" s="256">
        <v>9092327.9032975249</v>
      </c>
      <c r="AG52" s="262">
        <v>1279645206.9032977</v>
      </c>
    </row>
    <row r="53" spans="1:37" ht="15.75" thickBot="1" x14ac:dyDescent="0.3">
      <c r="A53" s="263" t="s">
        <v>99</v>
      </c>
      <c r="B53" s="264" t="s">
        <v>179</v>
      </c>
      <c r="C53" s="265">
        <v>699218563.31754839</v>
      </c>
      <c r="D53" s="265">
        <v>51910829.764591791</v>
      </c>
      <c r="E53" s="265">
        <v>941998.69514616893</v>
      </c>
      <c r="F53" s="265">
        <v>7958159.5995496614</v>
      </c>
      <c r="G53" s="265">
        <v>3638203.1180510656</v>
      </c>
      <c r="H53" s="265">
        <v>86968.50511293282</v>
      </c>
      <c r="I53" s="265">
        <v>435333165.63147736</v>
      </c>
      <c r="J53" s="265">
        <v>77263727.933610782</v>
      </c>
      <c r="K53" s="265">
        <v>27176638.768301811</v>
      </c>
      <c r="L53" s="265">
        <v>379412.1258495652</v>
      </c>
      <c r="M53" s="265">
        <v>8151772.6831314703</v>
      </c>
      <c r="N53" s="265">
        <v>93254.771290141725</v>
      </c>
      <c r="O53" s="265">
        <v>50460033.841596074</v>
      </c>
      <c r="P53" s="265">
        <v>1379973.3382681704</v>
      </c>
      <c r="Q53" s="265">
        <v>6715834.3915217742</v>
      </c>
      <c r="R53" s="265">
        <v>735721.564274868</v>
      </c>
      <c r="S53" s="265">
        <v>2122667.9506779891</v>
      </c>
      <c r="T53" s="265">
        <v>27150867.078466952</v>
      </c>
      <c r="U53" s="265">
        <v>40986068.864061989</v>
      </c>
      <c r="V53" s="265">
        <v>4609733.6351480391</v>
      </c>
      <c r="W53" s="265">
        <v>305805.21086849814</v>
      </c>
      <c r="X53" s="265">
        <v>1874281.3812347671</v>
      </c>
      <c r="Y53" s="265">
        <v>1058005.0202196795</v>
      </c>
      <c r="Z53" s="265">
        <v>43937764.843021527</v>
      </c>
      <c r="AA53" s="265">
        <v>11344612.469185146</v>
      </c>
      <c r="AB53" s="265">
        <v>3488236.5389379556</v>
      </c>
      <c r="AC53" s="265">
        <v>1730874.0082225325</v>
      </c>
      <c r="AD53" s="265">
        <v>16037144.852409292</v>
      </c>
      <c r="AE53" s="265">
        <v>63830.098223604597</v>
      </c>
      <c r="AF53" s="265">
        <v>9094339.8496656604</v>
      </c>
      <c r="AG53" s="266">
        <v>1535248489.8496656</v>
      </c>
      <c r="AH53" s="267">
        <f>SUM(AG42:AG53)</f>
        <v>19427505428.401234</v>
      </c>
      <c r="AK53" s="70"/>
    </row>
    <row r="54" spans="1:37" x14ac:dyDescent="0.25">
      <c r="A54" s="255" t="s">
        <v>99</v>
      </c>
      <c r="B54" s="255" t="s">
        <v>180</v>
      </c>
      <c r="C54" s="256">
        <v>1015285052.3162816</v>
      </c>
      <c r="D54" s="256">
        <v>65124545.008210406</v>
      </c>
      <c r="E54" s="256">
        <v>1158509.1423014863</v>
      </c>
      <c r="F54" s="256">
        <v>10683578.151575143</v>
      </c>
      <c r="G54" s="256">
        <v>4163392.9731126409</v>
      </c>
      <c r="H54" s="256">
        <v>86940.408518710232</v>
      </c>
      <c r="I54" s="256">
        <v>490030519.26497948</v>
      </c>
      <c r="J54" s="256">
        <v>90156836.032022133</v>
      </c>
      <c r="K54" s="256">
        <v>30013798.039859902</v>
      </c>
      <c r="L54" s="256">
        <v>476501.09149164194</v>
      </c>
      <c r="M54" s="256">
        <v>10118274.294834917</v>
      </c>
      <c r="N54" s="256">
        <v>111540.03165116636</v>
      </c>
      <c r="O54" s="256">
        <v>62957492.012235485</v>
      </c>
      <c r="P54" s="256">
        <v>959297.94533312775</v>
      </c>
      <c r="Q54" s="256">
        <v>8039165.3861308582</v>
      </c>
      <c r="R54" s="256">
        <v>616518.57637370855</v>
      </c>
      <c r="S54" s="256">
        <v>2121652.3250875697</v>
      </c>
      <c r="T54" s="256">
        <v>29610051.191697057</v>
      </c>
      <c r="U54" s="256">
        <v>47935735.15677052</v>
      </c>
      <c r="V54" s="256">
        <v>3752056.810526425</v>
      </c>
      <c r="W54" s="256">
        <v>-500114.51886980166</v>
      </c>
      <c r="X54" s="256">
        <v>2256206.8614608897</v>
      </c>
      <c r="Y54" s="256">
        <v>1317241.2967125382</v>
      </c>
      <c r="Z54" s="256">
        <v>46358207.148453139</v>
      </c>
      <c r="AA54" s="256">
        <v>8857375.8445495497</v>
      </c>
      <c r="AB54" s="256">
        <v>3418340.6912003816</v>
      </c>
      <c r="AC54" s="256">
        <v>1981082.625517163</v>
      </c>
      <c r="AD54" s="256">
        <v>15202456.837906361</v>
      </c>
      <c r="AE54" s="256">
        <v>63797.054075809101</v>
      </c>
      <c r="AF54" s="256">
        <v>9096353.9447814748</v>
      </c>
      <c r="AG54" s="256">
        <v>1961452403.944782</v>
      </c>
    </row>
    <row r="55" spans="1:37" x14ac:dyDescent="0.25">
      <c r="A55" s="255" t="s">
        <v>99</v>
      </c>
      <c r="B55" s="255" t="s">
        <v>181</v>
      </c>
      <c r="C55" s="256">
        <v>1135794866.3324561</v>
      </c>
      <c r="D55" s="256">
        <v>72406431.50186716</v>
      </c>
      <c r="E55" s="256">
        <v>1144981.3804502166</v>
      </c>
      <c r="F55" s="256">
        <v>11654706.46475973</v>
      </c>
      <c r="G55" s="256">
        <v>4504597.9857818009</v>
      </c>
      <c r="H55" s="256">
        <v>86912.334685171561</v>
      </c>
      <c r="I55" s="256">
        <v>534847636.96566921</v>
      </c>
      <c r="J55" s="256">
        <v>93237989.256174505</v>
      </c>
      <c r="K55" s="256">
        <v>32959605.126670659</v>
      </c>
      <c r="L55" s="256">
        <v>445547.62833347678</v>
      </c>
      <c r="M55" s="256">
        <v>10367108.593838561</v>
      </c>
      <c r="N55" s="256">
        <v>143300.67221276864</v>
      </c>
      <c r="O55" s="256">
        <v>61096871.025436446</v>
      </c>
      <c r="P55" s="256">
        <v>713309.94308530097</v>
      </c>
      <c r="Q55" s="256">
        <v>9410711.5648057461</v>
      </c>
      <c r="R55" s="256">
        <v>927384.80933783576</v>
      </c>
      <c r="S55" s="256">
        <v>2120637.4144356186</v>
      </c>
      <c r="T55" s="256">
        <v>29960856.964070391</v>
      </c>
      <c r="U55" s="256">
        <v>46539143.537794724</v>
      </c>
      <c r="V55" s="256">
        <v>4881818.4681043113</v>
      </c>
      <c r="W55" s="256">
        <v>1347534.0001695342</v>
      </c>
      <c r="X55" s="256">
        <v>2262841.427848144</v>
      </c>
      <c r="Y55" s="256">
        <v>3667716.5467878901</v>
      </c>
      <c r="Z55" s="256">
        <v>48166592.150794633</v>
      </c>
      <c r="AA55" s="256">
        <v>8737536.3967315517</v>
      </c>
      <c r="AB55" s="256">
        <v>4944781.8272508178</v>
      </c>
      <c r="AC55" s="256">
        <v>1956346.454732568</v>
      </c>
      <c r="AD55" s="256">
        <v>16915349.183045417</v>
      </c>
      <c r="AE55" s="256">
        <v>63764.042670000992</v>
      </c>
      <c r="AF55" s="256">
        <v>9098370.4018606152</v>
      </c>
      <c r="AG55" s="256">
        <v>2150405250.4018612</v>
      </c>
    </row>
    <row r="56" spans="1:37" x14ac:dyDescent="0.25">
      <c r="A56" s="255" t="s">
        <v>99</v>
      </c>
      <c r="B56" s="255" t="s">
        <v>182</v>
      </c>
      <c r="C56" s="256">
        <v>983012045.69965541</v>
      </c>
      <c r="D56" s="256">
        <v>64266060.381249815</v>
      </c>
      <c r="E56" s="256">
        <v>1107496.5197805765</v>
      </c>
      <c r="F56" s="256">
        <v>10257181.630336529</v>
      </c>
      <c r="G56" s="256">
        <v>4006640.4839520631</v>
      </c>
      <c r="H56" s="256">
        <v>86884.28502570912</v>
      </c>
      <c r="I56" s="256">
        <v>482208548.31902206</v>
      </c>
      <c r="J56" s="256">
        <v>87036373.586018667</v>
      </c>
      <c r="K56" s="256">
        <v>30853131.519900553</v>
      </c>
      <c r="L56" s="256">
        <v>450231.24192093429</v>
      </c>
      <c r="M56" s="256">
        <v>9853752.382420877</v>
      </c>
      <c r="N56" s="256">
        <v>130469.44032498972</v>
      </c>
      <c r="O56" s="256">
        <v>59934027.261192486</v>
      </c>
      <c r="P56" s="256">
        <v>712841.54702392605</v>
      </c>
      <c r="Q56" s="256">
        <v>8658715.218519846</v>
      </c>
      <c r="R56" s="256">
        <v>796396.21587116213</v>
      </c>
      <c r="S56" s="256">
        <v>2119623.2677843375</v>
      </c>
      <c r="T56" s="256">
        <v>29910534.035754699</v>
      </c>
      <c r="U56" s="256">
        <v>43580463.116942711</v>
      </c>
      <c r="V56" s="256">
        <v>4749610.3182166265</v>
      </c>
      <c r="W56" s="256">
        <v>612009.93370536447</v>
      </c>
      <c r="X56" s="256">
        <v>2233960.1489440897</v>
      </c>
      <c r="Y56" s="256">
        <v>1126169.4481023883</v>
      </c>
      <c r="Z56" s="256">
        <v>46663907.821950383</v>
      </c>
      <c r="AA56" s="256">
        <v>8161732.1497266712</v>
      </c>
      <c r="AB56" s="256">
        <v>4875638.8956341147</v>
      </c>
      <c r="AC56" s="256">
        <v>1931315.7698558536</v>
      </c>
      <c r="AD56" s="256">
        <v>17369785.295861777</v>
      </c>
      <c r="AE56" s="256">
        <v>63731.065305333803</v>
      </c>
      <c r="AF56" s="256">
        <v>9100389.2250104658</v>
      </c>
      <c r="AG56" s="256">
        <v>1915869666.2250102</v>
      </c>
    </row>
    <row r="57" spans="1:37" x14ac:dyDescent="0.25">
      <c r="A57" s="255" t="s">
        <v>99</v>
      </c>
      <c r="B57" s="255" t="s">
        <v>183</v>
      </c>
      <c r="C57" s="256">
        <v>627948473.53396606</v>
      </c>
      <c r="D57" s="256">
        <v>48587770.417568006</v>
      </c>
      <c r="E57" s="256">
        <v>854662.11429705378</v>
      </c>
      <c r="F57" s="256">
        <v>7098374.0951234037</v>
      </c>
      <c r="G57" s="256">
        <v>3209357.581336088</v>
      </c>
      <c r="H57" s="256">
        <v>86856.257709375335</v>
      </c>
      <c r="I57" s="256">
        <v>406570709.15677381</v>
      </c>
      <c r="J57" s="256">
        <v>77666309.020226344</v>
      </c>
      <c r="K57" s="256">
        <v>25191214.157148268</v>
      </c>
      <c r="L57" s="256">
        <v>350768.70406545262</v>
      </c>
      <c r="M57" s="256">
        <v>8747220.2541696168</v>
      </c>
      <c r="N57" s="256">
        <v>81171.879448888925</v>
      </c>
      <c r="O57" s="256">
        <v>52839796.840107694</v>
      </c>
      <c r="P57" s="256">
        <v>968850.7388704787</v>
      </c>
      <c r="Q57" s="256">
        <v>6861791.5072208345</v>
      </c>
      <c r="R57" s="256">
        <v>2089179.8846762949</v>
      </c>
      <c r="S57" s="256">
        <v>2118609.8572922456</v>
      </c>
      <c r="T57" s="256">
        <v>25947499.683433261</v>
      </c>
      <c r="U57" s="256">
        <v>42185734.501919933</v>
      </c>
      <c r="V57" s="256">
        <v>3924303.9856481669</v>
      </c>
      <c r="W57" s="256">
        <v>483318.7573619702</v>
      </c>
      <c r="X57" s="256">
        <v>1841834.3658151974</v>
      </c>
      <c r="Y57" s="256">
        <v>2357042.3078476093</v>
      </c>
      <c r="Z57" s="256">
        <v>43217342.659526654</v>
      </c>
      <c r="AA57" s="256">
        <v>7664772.3364598267</v>
      </c>
      <c r="AB57" s="256">
        <v>4052779.2529930947</v>
      </c>
      <c r="AC57" s="256">
        <v>1712379.160429623</v>
      </c>
      <c r="AD57" s="256">
        <v>16661621.86757211</v>
      </c>
      <c r="AE57" s="256">
        <v>63698.120992527591</v>
      </c>
      <c r="AF57" s="256">
        <v>9102410.0381347481</v>
      </c>
      <c r="AG57" s="256">
        <v>1430485853.0381343</v>
      </c>
    </row>
    <row r="58" spans="1:37" x14ac:dyDescent="0.25">
      <c r="A58" s="255" t="s">
        <v>99</v>
      </c>
      <c r="B58" s="255" t="s">
        <v>184</v>
      </c>
      <c r="C58" s="256">
        <v>523686165.17048162</v>
      </c>
      <c r="D58" s="256">
        <v>54403846.32015232</v>
      </c>
      <c r="E58" s="256">
        <v>928310.72237455251</v>
      </c>
      <c r="F58" s="256">
        <v>6634516.9111755239</v>
      </c>
      <c r="G58" s="256">
        <v>3762182.630620332</v>
      </c>
      <c r="H58" s="256">
        <v>86828.245195626499</v>
      </c>
      <c r="I58" s="256">
        <v>396881563.72739768</v>
      </c>
      <c r="J58" s="256">
        <v>74911298.316296846</v>
      </c>
      <c r="K58" s="256">
        <v>26324192.31730948</v>
      </c>
      <c r="L58" s="256">
        <v>341823.77638144488</v>
      </c>
      <c r="M58" s="256">
        <v>6981176.513801896</v>
      </c>
      <c r="N58" s="256">
        <v>69611.366708276269</v>
      </c>
      <c r="O58" s="256">
        <v>55761217.331129998</v>
      </c>
      <c r="P58" s="256">
        <v>1488306.9634191457</v>
      </c>
      <c r="Q58" s="256">
        <v>6701049.4388680002</v>
      </c>
      <c r="R58" s="256">
        <v>639816.23128228448</v>
      </c>
      <c r="S58" s="256">
        <v>2117597.0174048576</v>
      </c>
      <c r="T58" s="256">
        <v>27421191.328168523</v>
      </c>
      <c r="U58" s="256">
        <v>42055029.81349726</v>
      </c>
      <c r="V58" s="256">
        <v>4136821.7778810803</v>
      </c>
      <c r="W58" s="256">
        <v>245537.81400267381</v>
      </c>
      <c r="X58" s="256">
        <v>1704643.6018565539</v>
      </c>
      <c r="Y58" s="256">
        <v>1314022.9315090738</v>
      </c>
      <c r="Z58" s="256">
        <v>37924084.176676854</v>
      </c>
      <c r="AA58" s="256">
        <v>8755299.487462895</v>
      </c>
      <c r="AB58" s="256">
        <v>3311490.5358222006</v>
      </c>
      <c r="AC58" s="256">
        <v>1501498.8149879393</v>
      </c>
      <c r="AD58" s="256">
        <v>18831554.513328888</v>
      </c>
      <c r="AE58" s="256">
        <v>63665.204806052898</v>
      </c>
      <c r="AF58" s="256">
        <v>9104431.8359970376</v>
      </c>
      <c r="AG58" s="256">
        <v>1318088774.8359969</v>
      </c>
    </row>
    <row r="59" spans="1:37" x14ac:dyDescent="0.25">
      <c r="A59" s="255" t="s">
        <v>99</v>
      </c>
      <c r="B59" s="255" t="s">
        <v>185</v>
      </c>
      <c r="C59" s="256">
        <v>602038274.9591707</v>
      </c>
      <c r="D59" s="256">
        <v>86360142.826045007</v>
      </c>
      <c r="E59" s="256">
        <v>1329657.1352542872</v>
      </c>
      <c r="F59" s="256">
        <v>8498358.3479361832</v>
      </c>
      <c r="G59" s="256">
        <v>6279430.5066292137</v>
      </c>
      <c r="H59" s="256">
        <v>86772.224964509936</v>
      </c>
      <c r="I59" s="256">
        <v>418162670.64724797</v>
      </c>
      <c r="J59" s="256">
        <v>78943509.445600078</v>
      </c>
      <c r="K59" s="256">
        <v>29189073.818397027</v>
      </c>
      <c r="L59" s="256">
        <v>329298.35861845</v>
      </c>
      <c r="M59" s="256">
        <v>5661891.3412940018</v>
      </c>
      <c r="N59" s="256">
        <v>93270.322293229634</v>
      </c>
      <c r="O59" s="256">
        <v>63059457.695373341</v>
      </c>
      <c r="P59" s="256">
        <v>1611788.9189547314</v>
      </c>
      <c r="Q59" s="256">
        <v>6566515.866492046</v>
      </c>
      <c r="R59" s="256">
        <v>362773.52176084329</v>
      </c>
      <c r="S59" s="256">
        <v>2115572.0639683777</v>
      </c>
      <c r="T59" s="256">
        <v>25377317.819120575</v>
      </c>
      <c r="U59" s="256">
        <v>42083864.687187791</v>
      </c>
      <c r="V59" s="256">
        <v>3834622.9120932827</v>
      </c>
      <c r="W59" s="256">
        <v>239833.11350317061</v>
      </c>
      <c r="X59" s="256">
        <v>1349754.3071319009</v>
      </c>
      <c r="Y59" s="256">
        <v>1286928.4364525604</v>
      </c>
      <c r="Z59" s="256">
        <v>46176698.968498833</v>
      </c>
      <c r="AA59" s="256">
        <v>10426969.286537914</v>
      </c>
      <c r="AB59" s="256">
        <v>3712848.3993331725</v>
      </c>
      <c r="AC59" s="256">
        <v>2345742.166101065</v>
      </c>
      <c r="AD59" s="256">
        <v>16691723.487395965</v>
      </c>
      <c r="AE59" s="256">
        <v>63599.416643777658</v>
      </c>
      <c r="AF59" s="256">
        <v>9108472.9563495182</v>
      </c>
      <c r="AG59" s="256">
        <v>1473386833.9563503</v>
      </c>
      <c r="AI59" s="70">
        <f>SUM(AG48:AG59)</f>
        <v>19255372455.80999</v>
      </c>
    </row>
    <row r="60" spans="1:37" x14ac:dyDescent="0.25">
      <c r="A60" s="255" t="s">
        <v>99</v>
      </c>
      <c r="B60" s="255" t="s">
        <v>186</v>
      </c>
      <c r="C60" s="256">
        <v>722687148.03882802</v>
      </c>
      <c r="D60" s="256">
        <v>120322962.56508133</v>
      </c>
      <c r="E60" s="256">
        <v>1732983.1504584462</v>
      </c>
      <c r="F60" s="256">
        <v>10614315.769890361</v>
      </c>
      <c r="G60" s="256">
        <v>8396689.2391327024</v>
      </c>
      <c r="H60" s="256">
        <v>86744.236608954103</v>
      </c>
      <c r="I60" s="256">
        <v>441959932.87726295</v>
      </c>
      <c r="J60" s="256">
        <v>75836242.862957716</v>
      </c>
      <c r="K60" s="256">
        <v>30210404.743243653</v>
      </c>
      <c r="L60" s="256">
        <v>351202.06561561604</v>
      </c>
      <c r="M60" s="256">
        <v>9163001.3625556771</v>
      </c>
      <c r="N60" s="256">
        <v>123191.46385025256</v>
      </c>
      <c r="O60" s="256">
        <v>61096286.79745248</v>
      </c>
      <c r="P60" s="256">
        <v>1094168.1530488622</v>
      </c>
      <c r="Q60" s="256">
        <v>7262142.3223535968</v>
      </c>
      <c r="R60" s="256">
        <v>215652.86598039692</v>
      </c>
      <c r="S60" s="256">
        <v>2114560.4856788809</v>
      </c>
      <c r="T60" s="256">
        <v>26992046.672129788</v>
      </c>
      <c r="U60" s="256">
        <v>39601548.705264978</v>
      </c>
      <c r="V60" s="256">
        <v>4046870.846012176</v>
      </c>
      <c r="W60" s="256">
        <v>280997.20942918025</v>
      </c>
      <c r="X60" s="256">
        <v>1621844.0357987671</v>
      </c>
      <c r="Y60" s="256">
        <v>1289973.9058834813</v>
      </c>
      <c r="Z60" s="256">
        <v>40552888.783883557</v>
      </c>
      <c r="AA60" s="256">
        <v>17572930.408801157</v>
      </c>
      <c r="AB60" s="256">
        <v>4110487.1054133628</v>
      </c>
      <c r="AC60" s="256">
        <v>1984974.1711933911</v>
      </c>
      <c r="AD60" s="256">
        <v>17226142.586426795</v>
      </c>
      <c r="AE60" s="256">
        <v>63566.569763343417</v>
      </c>
      <c r="AF60" s="256">
        <v>9110494.4526391886</v>
      </c>
      <c r="AG60" s="256">
        <v>1657722394.4526391</v>
      </c>
    </row>
    <row r="61" spans="1:37" x14ac:dyDescent="0.25">
      <c r="A61" s="255" t="s">
        <v>99</v>
      </c>
      <c r="B61" s="255" t="s">
        <v>187</v>
      </c>
      <c r="C61" s="256">
        <v>684160910.97069311</v>
      </c>
      <c r="D61" s="256">
        <v>125591318.25749312</v>
      </c>
      <c r="E61" s="256">
        <v>1601776.716843049</v>
      </c>
      <c r="F61" s="256">
        <v>10477441.031353483</v>
      </c>
      <c r="G61" s="256">
        <v>8778017.7600522116</v>
      </c>
      <c r="H61" s="256">
        <v>86716.263565180925</v>
      </c>
      <c r="I61" s="256">
        <v>445924651.5628522</v>
      </c>
      <c r="J61" s="256">
        <v>67883119.681269065</v>
      </c>
      <c r="K61" s="256">
        <v>27746967.572051127</v>
      </c>
      <c r="L61" s="256">
        <v>298432.35313928808</v>
      </c>
      <c r="M61" s="256">
        <v>8289869.4356501047</v>
      </c>
      <c r="N61" s="256">
        <v>100783.07873570915</v>
      </c>
      <c r="O61" s="256">
        <v>56231723.625495866</v>
      </c>
      <c r="P61" s="256">
        <v>2601076.4932621541</v>
      </c>
      <c r="Q61" s="256">
        <v>6754917.2662012195</v>
      </c>
      <c r="R61" s="256">
        <v>206736.468137572</v>
      </c>
      <c r="S61" s="256">
        <v>2113549.4632056025</v>
      </c>
      <c r="T61" s="256">
        <v>27950537.97662434</v>
      </c>
      <c r="U61" s="256">
        <v>37133383.326944672</v>
      </c>
      <c r="V61" s="256">
        <v>4121973.208199441</v>
      </c>
      <c r="W61" s="256">
        <v>632415.7595911891</v>
      </c>
      <c r="X61" s="256">
        <v>1814411.4568250594</v>
      </c>
      <c r="Y61" s="256">
        <v>1238642.717792968</v>
      </c>
      <c r="Z61" s="256">
        <v>38240097.027072966</v>
      </c>
      <c r="AA61" s="256">
        <v>15619808.453059625</v>
      </c>
      <c r="AB61" s="256">
        <v>4030135.5905377148</v>
      </c>
      <c r="AC61" s="256">
        <v>1751741.6759404577</v>
      </c>
      <c r="AD61" s="256">
        <v>17755472.057181496</v>
      </c>
      <c r="AE61" s="256">
        <v>63533.750230079131</v>
      </c>
      <c r="AF61" s="256">
        <v>9112517.1112943105</v>
      </c>
      <c r="AG61" s="256">
        <v>1608312678.1112943</v>
      </c>
    </row>
    <row r="62" spans="1:37" x14ac:dyDescent="0.25">
      <c r="A62" s="255" t="s">
        <v>99</v>
      </c>
      <c r="B62" s="255" t="s">
        <v>188</v>
      </c>
      <c r="C62" s="256">
        <v>619128799.22414482</v>
      </c>
      <c r="D62" s="256">
        <v>111845664.25655501</v>
      </c>
      <c r="E62" s="256">
        <v>1635927.8202813764</v>
      </c>
      <c r="F62" s="256">
        <v>9498728.0900993478</v>
      </c>
      <c r="G62" s="256">
        <v>7659946.302663099</v>
      </c>
      <c r="H62" s="256">
        <v>86688.306256445052</v>
      </c>
      <c r="I62" s="256">
        <v>441639706.67862946</v>
      </c>
      <c r="J62" s="256">
        <v>61836648.172579288</v>
      </c>
      <c r="K62" s="256">
        <v>23361048.101145763</v>
      </c>
      <c r="L62" s="256">
        <v>257583.22201116808</v>
      </c>
      <c r="M62" s="256">
        <v>6623253.294060939</v>
      </c>
      <c r="N62" s="256">
        <v>78934.884790266631</v>
      </c>
      <c r="O62" s="256">
        <v>45362415.199433498</v>
      </c>
      <c r="P62" s="256">
        <v>1158066.4858275002</v>
      </c>
      <c r="Q62" s="256">
        <v>5118562.5396687509</v>
      </c>
      <c r="R62" s="256">
        <v>136448.41555666307</v>
      </c>
      <c r="S62" s="256">
        <v>2112539.0062969285</v>
      </c>
      <c r="T62" s="256">
        <v>31572463.015839595</v>
      </c>
      <c r="U62" s="256">
        <v>41469769.763828471</v>
      </c>
      <c r="V62" s="256">
        <v>3850671.9481239393</v>
      </c>
      <c r="W62" s="256">
        <v>555600.56777493784</v>
      </c>
      <c r="X62" s="256">
        <v>1900695.6844392649</v>
      </c>
      <c r="Y62" s="256">
        <v>1295088.7453642122</v>
      </c>
      <c r="Z62" s="256">
        <v>39536682.953878134</v>
      </c>
      <c r="AA62" s="256">
        <v>15074569.412695022</v>
      </c>
      <c r="AB62" s="256">
        <v>4258564.0949154347</v>
      </c>
      <c r="AC62" s="256">
        <v>1652909.3042570625</v>
      </c>
      <c r="AD62" s="256">
        <v>8923049.5504858401</v>
      </c>
      <c r="AE62" s="256">
        <v>63500.958398084149</v>
      </c>
      <c r="AF62" s="256">
        <v>9114541.0079998858</v>
      </c>
      <c r="AG62" s="256">
        <v>1496809067.0079999</v>
      </c>
    </row>
    <row r="63" spans="1:37" x14ac:dyDescent="0.25">
      <c r="A63" s="255" t="s">
        <v>99</v>
      </c>
      <c r="B63" s="255" t="s">
        <v>189</v>
      </c>
      <c r="C63" s="256">
        <v>526288058.20988739</v>
      </c>
      <c r="D63" s="256">
        <v>82736856.398998916</v>
      </c>
      <c r="E63" s="256">
        <v>1188825.9824815965</v>
      </c>
      <c r="F63" s="256">
        <v>7606450.2368653594</v>
      </c>
      <c r="G63" s="256">
        <v>5873098.8068613941</v>
      </c>
      <c r="H63" s="256">
        <v>86660.36490549313</v>
      </c>
      <c r="I63" s="256">
        <v>400201828.26692975</v>
      </c>
      <c r="J63" s="256">
        <v>68532716.627509207</v>
      </c>
      <c r="K63" s="256">
        <v>25187586.791669201</v>
      </c>
      <c r="L63" s="256">
        <v>328908.05773479299</v>
      </c>
      <c r="M63" s="256">
        <v>8295524.004139672</v>
      </c>
      <c r="N63" s="256">
        <v>85040.586188164554</v>
      </c>
      <c r="O63" s="256">
        <v>47168638.554387689</v>
      </c>
      <c r="P63" s="256">
        <v>850449.4779062008</v>
      </c>
      <c r="Q63" s="256">
        <v>6150229.0452506347</v>
      </c>
      <c r="R63" s="256">
        <v>510402.4662066712</v>
      </c>
      <c r="S63" s="256">
        <v>2111529.1220779782</v>
      </c>
      <c r="T63" s="256">
        <v>29500812.560200285</v>
      </c>
      <c r="U63" s="256">
        <v>39126053.856766276</v>
      </c>
      <c r="V63" s="256">
        <v>4001042.3719216869</v>
      </c>
      <c r="W63" s="256">
        <v>546871.03043038538</v>
      </c>
      <c r="X63" s="256">
        <v>833268.2038405597</v>
      </c>
      <c r="Y63" s="256">
        <v>790286.22283906431</v>
      </c>
      <c r="Z63" s="256">
        <v>38140917.426729046</v>
      </c>
      <c r="AA63" s="256">
        <v>7981926.2673139032</v>
      </c>
      <c r="AB63" s="256">
        <v>3497089.0648620385</v>
      </c>
      <c r="AC63" s="256">
        <v>1760126.486731672</v>
      </c>
      <c r="AD63" s="256">
        <v>18057915.313848961</v>
      </c>
      <c r="AE63" s="256">
        <v>63468.194516160809</v>
      </c>
      <c r="AF63" s="256">
        <v>9116566.1717446819</v>
      </c>
      <c r="AG63" s="256">
        <v>1336619146.1717446</v>
      </c>
    </row>
    <row r="64" spans="1:37" x14ac:dyDescent="0.25">
      <c r="A64" s="255" t="s">
        <v>99</v>
      </c>
      <c r="B64" s="255" t="s">
        <v>190</v>
      </c>
      <c r="C64" s="256">
        <v>488090436.9168151</v>
      </c>
      <c r="D64" s="256">
        <v>61218285.762743637</v>
      </c>
      <c r="E64" s="256">
        <v>883094.55904439383</v>
      </c>
      <c r="F64" s="256">
        <v>6631165.7586605772</v>
      </c>
      <c r="G64" s="256">
        <v>4195624.5631731832</v>
      </c>
      <c r="H64" s="256">
        <v>86632.439563030159</v>
      </c>
      <c r="I64" s="256">
        <v>381566540.34910369</v>
      </c>
      <c r="J64" s="256">
        <v>64845335.908087932</v>
      </c>
      <c r="K64" s="256">
        <v>22849103.583982937</v>
      </c>
      <c r="L64" s="256">
        <v>314401.22511741536</v>
      </c>
      <c r="M64" s="256">
        <v>7493384.8462210959</v>
      </c>
      <c r="N64" s="256">
        <v>72448.776644079218</v>
      </c>
      <c r="O64" s="256">
        <v>42859532.658330008</v>
      </c>
      <c r="P64" s="256">
        <v>747032.27778421494</v>
      </c>
      <c r="Q64" s="256">
        <v>5378583.9349763487</v>
      </c>
      <c r="R64" s="256">
        <v>2709546.6247632811</v>
      </c>
      <c r="S64" s="256">
        <v>2110519.8149890509</v>
      </c>
      <c r="T64" s="256">
        <v>28416545.429083426</v>
      </c>
      <c r="U64" s="256">
        <v>38921205.596261151</v>
      </c>
      <c r="V64" s="256">
        <v>3963960.198732648</v>
      </c>
      <c r="W64" s="256">
        <v>631910.85092967353</v>
      </c>
      <c r="X64" s="256">
        <v>1990054.7633169082</v>
      </c>
      <c r="Y64" s="256">
        <v>911726.81872419</v>
      </c>
      <c r="Z64" s="256">
        <v>39105790.917075701</v>
      </c>
      <c r="AA64" s="256">
        <v>5305222.2746281726</v>
      </c>
      <c r="AB64" s="256">
        <v>3616833.9665823672</v>
      </c>
      <c r="AC64" s="256">
        <v>1657391.3180322717</v>
      </c>
      <c r="AD64" s="256">
        <v>17001220.40791947</v>
      </c>
      <c r="AE64" s="256">
        <v>63435.458714039691</v>
      </c>
      <c r="AF64" s="256">
        <v>9118592.5913792104</v>
      </c>
      <c r="AG64" s="256">
        <v>1242755560.5913789</v>
      </c>
    </row>
    <row r="65" spans="1:33" x14ac:dyDescent="0.25">
      <c r="A65" s="255" t="s">
        <v>99</v>
      </c>
      <c r="B65" s="255" t="s">
        <v>191</v>
      </c>
      <c r="C65" s="256">
        <v>697168904.16058767</v>
      </c>
      <c r="D65" s="256">
        <v>51709212.738103062</v>
      </c>
      <c r="E65" s="256">
        <v>940136.66402769706</v>
      </c>
      <c r="F65" s="256">
        <v>7938576.8075196343</v>
      </c>
      <c r="G65" s="256">
        <v>3628731.099670507</v>
      </c>
      <c r="H65" s="256">
        <v>86604.530091367036</v>
      </c>
      <c r="I65" s="256">
        <v>416390859.89420974</v>
      </c>
      <c r="J65" s="256">
        <v>73230611.036670789</v>
      </c>
      <c r="K65" s="256">
        <v>25797936.990341894</v>
      </c>
      <c r="L65" s="256">
        <v>360097.79683253687</v>
      </c>
      <c r="M65" s="256">
        <v>7736799.0727823609</v>
      </c>
      <c r="N65" s="256">
        <v>88526.371229788827</v>
      </c>
      <c r="O65" s="256">
        <v>47784506.014321253</v>
      </c>
      <c r="P65" s="256">
        <v>1365394.5375708095</v>
      </c>
      <c r="Q65" s="256">
        <v>6369006.0106625613</v>
      </c>
      <c r="R65" s="256">
        <v>664361.18987373076</v>
      </c>
      <c r="S65" s="256">
        <v>2109511.0855043731</v>
      </c>
      <c r="T65" s="256">
        <v>26978815.28436929</v>
      </c>
      <c r="U65" s="256">
        <v>39888659.172073968</v>
      </c>
      <c r="V65" s="256">
        <v>4479840.4288934022</v>
      </c>
      <c r="W65" s="256">
        <v>284300.0345936293</v>
      </c>
      <c r="X65" s="256">
        <v>1829231.096926345</v>
      </c>
      <c r="Y65" s="256">
        <v>1021382.4238686078</v>
      </c>
      <c r="Z65" s="256">
        <v>42582696.791623369</v>
      </c>
      <c r="AA65" s="256">
        <v>10839067.805333283</v>
      </c>
      <c r="AB65" s="256">
        <v>3400443.0872464925</v>
      </c>
      <c r="AC65" s="256">
        <v>1678197.5046082779</v>
      </c>
      <c r="AD65" s="256">
        <v>15539285.619493995</v>
      </c>
      <c r="AE65" s="256">
        <v>63402.750969385437</v>
      </c>
      <c r="AF65" s="256">
        <v>9120620.2199770957</v>
      </c>
      <c r="AG65" s="256">
        <v>1501075718.2199771</v>
      </c>
    </row>
    <row r="66" spans="1:33" x14ac:dyDescent="0.25">
      <c r="A66" s="255" t="s">
        <v>99</v>
      </c>
      <c r="B66" s="255" t="s">
        <v>192</v>
      </c>
      <c r="C66" s="256">
        <v>1013579335.6949941</v>
      </c>
      <c r="D66" s="256">
        <v>64979426.244080454</v>
      </c>
      <c r="E66" s="256">
        <v>1155298.7152080187</v>
      </c>
      <c r="F66" s="256">
        <v>10668350.371743847</v>
      </c>
      <c r="G66" s="256">
        <v>4154946.3378456864</v>
      </c>
      <c r="H66" s="256">
        <v>86576.636127908059</v>
      </c>
      <c r="I66" s="256">
        <v>468066753.63378197</v>
      </c>
      <c r="J66" s="256">
        <v>85474553.446708694</v>
      </c>
      <c r="K66" s="256">
        <v>28545277.51581974</v>
      </c>
      <c r="L66" s="256">
        <v>452741.08886164246</v>
      </c>
      <c r="M66" s="256">
        <v>9613741.9272305686</v>
      </c>
      <c r="N66" s="256">
        <v>106401.64591232799</v>
      </c>
      <c r="O66" s="256">
        <v>59908691.821984798</v>
      </c>
      <c r="P66" s="256">
        <v>941062.75867935468</v>
      </c>
      <c r="Q66" s="256">
        <v>7639139.252543251</v>
      </c>
      <c r="R66" s="256">
        <v>609899.98007910885</v>
      </c>
      <c r="S66" s="256">
        <v>2108502.9283986576</v>
      </c>
      <c r="T66" s="256">
        <v>29465766.429276761</v>
      </c>
      <c r="U66" s="256">
        <v>46628621.048797965</v>
      </c>
      <c r="V66" s="256">
        <v>3594984.2966291546</v>
      </c>
      <c r="W66" s="256">
        <v>-532538.00233597262</v>
      </c>
      <c r="X66" s="256">
        <v>2189491.5739754695</v>
      </c>
      <c r="Y66" s="256">
        <v>1275512.2247157923</v>
      </c>
      <c r="Z66" s="256">
        <v>44952700.494915493</v>
      </c>
      <c r="AA66" s="256">
        <v>8559259.0097536221</v>
      </c>
      <c r="AB66" s="256">
        <v>3379317.2089318954</v>
      </c>
      <c r="AC66" s="256">
        <v>1922116.1962954064</v>
      </c>
      <c r="AD66" s="256">
        <v>14702690.447971361</v>
      </c>
      <c r="AE66" s="256">
        <v>63370.071073036102</v>
      </c>
      <c r="AF66" s="256">
        <v>9122648.9789813068</v>
      </c>
      <c r="AG66" s="256">
        <v>1923414639.9789817</v>
      </c>
    </row>
    <row r="67" spans="1:33" x14ac:dyDescent="0.25">
      <c r="A67" s="255" t="s">
        <v>99</v>
      </c>
      <c r="B67" s="255" t="s">
        <v>193</v>
      </c>
      <c r="C67" s="256">
        <v>1146157911.2298505</v>
      </c>
      <c r="D67" s="256">
        <v>73007573.549804762</v>
      </c>
      <c r="E67" s="256">
        <v>1159311.2958493966</v>
      </c>
      <c r="F67" s="256">
        <v>11759390.320052614</v>
      </c>
      <c r="G67" s="256">
        <v>4543160.847372218</v>
      </c>
      <c r="H67" s="256">
        <v>86548.757070512365</v>
      </c>
      <c r="I67" s="256">
        <v>521566033.21245271</v>
      </c>
      <c r="J67" s="256">
        <v>90885193.277956039</v>
      </c>
      <c r="K67" s="256">
        <v>32121715.990151007</v>
      </c>
      <c r="L67" s="256">
        <v>434126.67277207883</v>
      </c>
      <c r="M67" s="256">
        <v>10101363.072998762</v>
      </c>
      <c r="N67" s="256">
        <v>140827.66195001305</v>
      </c>
      <c r="O67" s="256">
        <v>59590766.960500464</v>
      </c>
      <c r="P67" s="256">
        <v>725519.84945286531</v>
      </c>
      <c r="Q67" s="256">
        <v>9192786.3063209467</v>
      </c>
      <c r="R67" s="256">
        <v>938638.6635856448</v>
      </c>
      <c r="S67" s="256">
        <v>2107495.3318595327</v>
      </c>
      <c r="T67" s="256">
        <v>29719737.681308471</v>
      </c>
      <c r="U67" s="256">
        <v>45273304.296775654</v>
      </c>
      <c r="V67" s="256">
        <v>4721502.0124769257</v>
      </c>
      <c r="W67" s="256">
        <v>1330174.8624698939</v>
      </c>
      <c r="X67" s="256">
        <v>2205944.9753264529</v>
      </c>
      <c r="Y67" s="256">
        <v>3641539.1829374488</v>
      </c>
      <c r="Z67" s="256">
        <v>46652158.511348464</v>
      </c>
      <c r="AA67" s="256">
        <v>8448077.5889718793</v>
      </c>
      <c r="AB67" s="256">
        <v>4764210.6776631027</v>
      </c>
      <c r="AC67" s="256">
        <v>1901377.8597181069</v>
      </c>
      <c r="AD67" s="256">
        <v>16434191.932384292</v>
      </c>
      <c r="AE67" s="256">
        <v>63337.41861931789</v>
      </c>
      <c r="AF67" s="256">
        <v>9124678.7654529717</v>
      </c>
      <c r="AG67" s="256">
        <v>2138798598.7654531</v>
      </c>
    </row>
    <row r="68" spans="1:33" x14ac:dyDescent="0.25">
      <c r="A68" s="255" t="s">
        <v>99</v>
      </c>
      <c r="B68" s="255" t="s">
        <v>194</v>
      </c>
      <c r="C68" s="256">
        <v>990460512.83315086</v>
      </c>
      <c r="D68" s="256">
        <v>64771704.502276391</v>
      </c>
      <c r="E68" s="256">
        <v>1116494.4875375088</v>
      </c>
      <c r="F68" s="256">
        <v>10335775.679720875</v>
      </c>
      <c r="G68" s="256">
        <v>4036654.6051649139</v>
      </c>
      <c r="H68" s="256">
        <v>86520.892149707492</v>
      </c>
      <c r="I68" s="256">
        <v>469105054.03656125</v>
      </c>
      <c r="J68" s="256">
        <v>84133884.081289575</v>
      </c>
      <c r="K68" s="256">
        <v>29904048.035280704</v>
      </c>
      <c r="L68" s="256">
        <v>436128.99878997309</v>
      </c>
      <c r="M68" s="256">
        <v>9545110.9579468518</v>
      </c>
      <c r="N68" s="256">
        <v>127534.89075804906</v>
      </c>
      <c r="O68" s="256">
        <v>58032902.93610274</v>
      </c>
      <c r="P68" s="256">
        <v>723314.28710083093</v>
      </c>
      <c r="Q68" s="256">
        <v>8397153.0980541874</v>
      </c>
      <c r="R68" s="256">
        <v>804093.3990812042</v>
      </c>
      <c r="S68" s="256">
        <v>2106488.2790346588</v>
      </c>
      <c r="T68" s="256">
        <v>29134598.4172373</v>
      </c>
      <c r="U68" s="256">
        <v>42331474.153037339</v>
      </c>
      <c r="V68" s="256">
        <v>4596655.5590188587</v>
      </c>
      <c r="W68" s="256">
        <v>596427.64556411316</v>
      </c>
      <c r="X68" s="256">
        <v>2179197.3140942906</v>
      </c>
      <c r="Y68" s="256">
        <v>1093753.4692106415</v>
      </c>
      <c r="Z68" s="256">
        <v>45262405.548776582</v>
      </c>
      <c r="AA68" s="256">
        <v>7889809.3851728328</v>
      </c>
      <c r="AB68" s="256">
        <v>4732210.2307150699</v>
      </c>
      <c r="AC68" s="256">
        <v>1867963.7499499863</v>
      </c>
      <c r="AD68" s="256">
        <v>16834207.734161437</v>
      </c>
      <c r="AE68" s="256">
        <v>63304.793061546326</v>
      </c>
      <c r="AF68" s="256">
        <v>9126709.4675117116</v>
      </c>
      <c r="AG68" s="256">
        <v>1899832093.4675114</v>
      </c>
    </row>
    <row r="69" spans="1:33" x14ac:dyDescent="0.25">
      <c r="A69" s="255" t="s">
        <v>99</v>
      </c>
      <c r="B69" s="255" t="s">
        <v>195</v>
      </c>
      <c r="C69" s="256">
        <v>628856778.36524248</v>
      </c>
      <c r="D69" s="256">
        <v>48789198.293463707</v>
      </c>
      <c r="E69" s="256">
        <v>858651.78334652388</v>
      </c>
      <c r="F69" s="256">
        <v>7121216.4075895306</v>
      </c>
      <c r="G69" s="256">
        <v>3226941.1096734097</v>
      </c>
      <c r="H69" s="256">
        <v>86493.040684177176</v>
      </c>
      <c r="I69" s="256">
        <v>391057944.59827822</v>
      </c>
      <c r="J69" s="256">
        <v>74458700.940649718</v>
      </c>
      <c r="K69" s="256">
        <v>24237422.817170884</v>
      </c>
      <c r="L69" s="256">
        <v>337124.8751955328</v>
      </c>
      <c r="M69" s="256">
        <v>8406980.1619032398</v>
      </c>
      <c r="N69" s="256">
        <v>77589.804337280773</v>
      </c>
      <c r="O69" s="256">
        <v>50603478.904753663</v>
      </c>
      <c r="P69" s="256">
        <v>935009.33062731661</v>
      </c>
      <c r="Q69" s="256">
        <v>6611989.0861407015</v>
      </c>
      <c r="R69" s="256">
        <v>2021330.7269594129</v>
      </c>
      <c r="S69" s="256">
        <v>2105481.7539840047</v>
      </c>
      <c r="T69" s="256">
        <v>25374450.612965722</v>
      </c>
      <c r="U69" s="256">
        <v>40830213.588285662</v>
      </c>
      <c r="V69" s="256">
        <v>3778369.1210135133</v>
      </c>
      <c r="W69" s="256">
        <v>477511.97162777104</v>
      </c>
      <c r="X69" s="256">
        <v>1789534.3629174745</v>
      </c>
      <c r="Y69" s="256">
        <v>2335431.1181529248</v>
      </c>
      <c r="Z69" s="256">
        <v>41727106.172609031</v>
      </c>
      <c r="AA69" s="256">
        <v>7407621.8428056696</v>
      </c>
      <c r="AB69" s="256">
        <v>3880170.0851276903</v>
      </c>
      <c r="AC69" s="256">
        <v>1654395.6858836322</v>
      </c>
      <c r="AD69" s="256">
        <v>16146615.244720977</v>
      </c>
      <c r="AE69" s="256">
        <v>63272.193889929025</v>
      </c>
      <c r="AF69" s="256">
        <v>9128740.9953591991</v>
      </c>
      <c r="AG69" s="256">
        <v>1404385764.9953582</v>
      </c>
    </row>
    <row r="70" spans="1:33" x14ac:dyDescent="0.25">
      <c r="A70" s="255" t="s">
        <v>99</v>
      </c>
      <c r="B70" s="255" t="s">
        <v>196</v>
      </c>
      <c r="C70" s="256">
        <v>521831530.82356417</v>
      </c>
      <c r="D70" s="256">
        <v>54274393.775594003</v>
      </c>
      <c r="E70" s="256">
        <v>927266.69211373338</v>
      </c>
      <c r="F70" s="256">
        <v>6624613.2245293241</v>
      </c>
      <c r="G70" s="256">
        <v>3765566.2816365366</v>
      </c>
      <c r="H70" s="256">
        <v>86465.202562156512</v>
      </c>
      <c r="I70" s="256">
        <v>380313608.32430828</v>
      </c>
      <c r="J70" s="256">
        <v>71200667.13751334</v>
      </c>
      <c r="K70" s="256">
        <v>25134974.257086631</v>
      </c>
      <c r="L70" s="256">
        <v>325923.44863661117</v>
      </c>
      <c r="M70" s="256">
        <v>6656439.0254122149</v>
      </c>
      <c r="N70" s="256">
        <v>66362.309621550943</v>
      </c>
      <c r="O70" s="256">
        <v>53092182.013971403</v>
      </c>
      <c r="P70" s="256">
        <v>1459506.3005054931</v>
      </c>
      <c r="Q70" s="256">
        <v>6432266.0204113722</v>
      </c>
      <c r="R70" s="256">
        <v>593635.40937115299</v>
      </c>
      <c r="S70" s="256">
        <v>2104475.7531619067</v>
      </c>
      <c r="T70" s="256">
        <v>26655805.558479056</v>
      </c>
      <c r="U70" s="256">
        <v>40790047.333727337</v>
      </c>
      <c r="V70" s="256">
        <v>3961549.8111712066</v>
      </c>
      <c r="W70" s="256">
        <v>250883.18904899972</v>
      </c>
      <c r="X70" s="256">
        <v>1643453.0078628357</v>
      </c>
      <c r="Y70" s="256">
        <v>1280473.7438034164</v>
      </c>
      <c r="Z70" s="256">
        <v>36733512.710660815</v>
      </c>
      <c r="AA70" s="256">
        <v>8419346.5137961041</v>
      </c>
      <c r="AB70" s="256">
        <v>3200444.3730342016</v>
      </c>
      <c r="AC70" s="256">
        <v>1432149.8566777802</v>
      </c>
      <c r="AD70" s="256">
        <v>18198707.280777469</v>
      </c>
      <c r="AE70" s="256">
        <v>63239.620960763328</v>
      </c>
      <c r="AF70" s="256">
        <v>9130773.3356983624</v>
      </c>
      <c r="AG70" s="256">
        <v>1286650262.3356981</v>
      </c>
    </row>
    <row r="71" spans="1:33" x14ac:dyDescent="0.25">
      <c r="A71" s="255" t="s">
        <v>99</v>
      </c>
      <c r="B71" s="255" t="s">
        <v>197</v>
      </c>
      <c r="C71" s="256">
        <v>602446996.50023282</v>
      </c>
      <c r="D71" s="256">
        <v>86448729.10341464</v>
      </c>
      <c r="E71" s="256">
        <v>1332023.4559541855</v>
      </c>
      <c r="F71" s="256">
        <v>8506505.9135514386</v>
      </c>
      <c r="G71" s="256">
        <v>6276606.4773709057</v>
      </c>
      <c r="H71" s="256">
        <v>86409.549475960841</v>
      </c>
      <c r="I71" s="256">
        <v>403745436.87949741</v>
      </c>
      <c r="J71" s="256">
        <v>75565073.652629897</v>
      </c>
      <c r="K71" s="256">
        <v>28002167.698328555</v>
      </c>
      <c r="L71" s="256">
        <v>315517.5043957223</v>
      </c>
      <c r="M71" s="256">
        <v>5424946.038782781</v>
      </c>
      <c r="N71" s="256">
        <v>88394.245403610927</v>
      </c>
      <c r="O71" s="256">
        <v>60333066.100690544</v>
      </c>
      <c r="P71" s="256">
        <v>1624052.5523943363</v>
      </c>
      <c r="Q71" s="256">
        <v>6332426.5073407469</v>
      </c>
      <c r="R71" s="256">
        <v>353914.09315622941</v>
      </c>
      <c r="S71" s="256">
        <v>2102464.7273801449</v>
      </c>
      <c r="T71" s="256">
        <v>24954115.530286804</v>
      </c>
      <c r="U71" s="256">
        <v>40793408.406246483</v>
      </c>
      <c r="V71" s="256">
        <v>3727978.4470193987</v>
      </c>
      <c r="W71" s="256">
        <v>246649.64345672837</v>
      </c>
      <c r="X71" s="256">
        <v>1332055.8982292954</v>
      </c>
      <c r="Y71" s="256">
        <v>1261223.0706191428</v>
      </c>
      <c r="Z71" s="256">
        <v>44571350.076914907</v>
      </c>
      <c r="AA71" s="256">
        <v>10175539.431115622</v>
      </c>
      <c r="AB71" s="256">
        <v>3596397.2963660159</v>
      </c>
      <c r="AC71" s="256">
        <v>2300457.0695348647</v>
      </c>
      <c r="AD71" s="256">
        <v>16163508.605229935</v>
      </c>
      <c r="AE71" s="256">
        <v>63174.524980770999</v>
      </c>
      <c r="AF71" s="256">
        <v>9134839.0175713617</v>
      </c>
      <c r="AG71" s="256">
        <v>1447305428.017571</v>
      </c>
    </row>
    <row r="72" spans="1:33" x14ac:dyDescent="0.25">
      <c r="A72" s="255" t="s">
        <v>99</v>
      </c>
      <c r="B72" s="255" t="s">
        <v>198</v>
      </c>
      <c r="C72" s="256">
        <v>725146992.23744655</v>
      </c>
      <c r="D72" s="256">
        <v>120870883.6081772</v>
      </c>
      <c r="E72" s="256">
        <v>1739540.9092523821</v>
      </c>
      <c r="F72" s="256">
        <v>10659695.673150681</v>
      </c>
      <c r="G72" s="256">
        <v>8433083.8177453279</v>
      </c>
      <c r="H72" s="256">
        <v>86381.754227954967</v>
      </c>
      <c r="I72" s="256">
        <v>427197095.7575196</v>
      </c>
      <c r="J72" s="256">
        <v>73073452.185918063</v>
      </c>
      <c r="K72" s="256">
        <v>29146541.068910617</v>
      </c>
      <c r="L72" s="256">
        <v>338452.48603272595</v>
      </c>
      <c r="M72" s="256">
        <v>8830359.7680785637</v>
      </c>
      <c r="N72" s="256">
        <v>117119.28903823062</v>
      </c>
      <c r="O72" s="256">
        <v>58782173.957720563</v>
      </c>
      <c r="P72" s="256">
        <v>1046965.0595587908</v>
      </c>
      <c r="Q72" s="256">
        <v>7058824.5916469432</v>
      </c>
      <c r="R72" s="256">
        <v>207552.48984265345</v>
      </c>
      <c r="S72" s="256">
        <v>2101460.3457331397</v>
      </c>
      <c r="T72" s="256">
        <v>26290520.978530031</v>
      </c>
      <c r="U72" s="256">
        <v>38355691.568787128</v>
      </c>
      <c r="V72" s="256">
        <v>3894427.7270035921</v>
      </c>
      <c r="W72" s="256">
        <v>288369.51268276514</v>
      </c>
      <c r="X72" s="256">
        <v>1563077.0755374937</v>
      </c>
      <c r="Y72" s="256">
        <v>1254255.2521078992</v>
      </c>
      <c r="Z72" s="256">
        <v>39233856.43901059</v>
      </c>
      <c r="AA72" s="256">
        <v>17358235.798935022</v>
      </c>
      <c r="AB72" s="256">
        <v>3952954.087853618</v>
      </c>
      <c r="AC72" s="256">
        <v>1914791.9084098658</v>
      </c>
      <c r="AD72" s="256">
        <v>16557317.619106507</v>
      </c>
      <c r="AE72" s="256">
        <v>63142.032035473683</v>
      </c>
      <c r="AF72" s="256">
        <v>9136874.3149244133</v>
      </c>
      <c r="AG72" s="256">
        <v>1634700089.3149242</v>
      </c>
    </row>
    <row r="73" spans="1:33" x14ac:dyDescent="0.25">
      <c r="A73" s="255" t="s">
        <v>99</v>
      </c>
      <c r="B73" s="255" t="s">
        <v>199</v>
      </c>
      <c r="C73" s="256">
        <v>682188597.98877954</v>
      </c>
      <c r="D73" s="256">
        <v>124943767.1411965</v>
      </c>
      <c r="E73" s="256">
        <v>1606394.0286417876</v>
      </c>
      <c r="F73" s="256">
        <v>10434728.086005712</v>
      </c>
      <c r="G73" s="256">
        <v>8731146.7816622015</v>
      </c>
      <c r="H73" s="256">
        <v>86353.973714252279</v>
      </c>
      <c r="I73" s="256">
        <v>425548397.80554152</v>
      </c>
      <c r="J73" s="256">
        <v>65118005.313262083</v>
      </c>
      <c r="K73" s="256">
        <v>26584936.793506164</v>
      </c>
      <c r="L73" s="256">
        <v>286732.64478005026</v>
      </c>
      <c r="M73" s="256">
        <v>7964874.3280050633</v>
      </c>
      <c r="N73" s="256">
        <v>95945.298058413056</v>
      </c>
      <c r="O73" s="256">
        <v>53874337.193825044</v>
      </c>
      <c r="P73" s="256">
        <v>2409814.0466701817</v>
      </c>
      <c r="Q73" s="256">
        <v>6532532.2880340749</v>
      </c>
      <c r="R73" s="256">
        <v>197960.7729940539</v>
      </c>
      <c r="S73" s="256">
        <v>2100456.5153232561</v>
      </c>
      <c r="T73" s="256">
        <v>27373730.739428058</v>
      </c>
      <c r="U73" s="256">
        <v>36071396.4067147</v>
      </c>
      <c r="V73" s="256">
        <v>3982067.1947494233</v>
      </c>
      <c r="W73" s="256">
        <v>612952.7183078205</v>
      </c>
      <c r="X73" s="256">
        <v>1736629.1776274685</v>
      </c>
      <c r="Y73" s="256">
        <v>1214664.3854183028</v>
      </c>
      <c r="Z73" s="256">
        <v>36991704.607668757</v>
      </c>
      <c r="AA73" s="256">
        <v>15437364.89093028</v>
      </c>
      <c r="AB73" s="256">
        <v>3903094.0902595972</v>
      </c>
      <c r="AC73" s="256">
        <v>1698380.2807990152</v>
      </c>
      <c r="AD73" s="256">
        <v>17279205.941969782</v>
      </c>
      <c r="AE73" s="256">
        <v>63109.566126751226</v>
      </c>
      <c r="AF73" s="256">
        <v>9138910.6679196469</v>
      </c>
      <c r="AG73" s="256">
        <v>1574208191.6679192</v>
      </c>
    </row>
    <row r="74" spans="1:33" x14ac:dyDescent="0.25">
      <c r="A74" s="255" t="s">
        <v>99</v>
      </c>
      <c r="B74" s="255" t="s">
        <v>200</v>
      </c>
      <c r="C74" s="256">
        <v>611409273.9533608</v>
      </c>
      <c r="D74" s="256">
        <v>110382240.89260185</v>
      </c>
      <c r="E74" s="256">
        <v>1604981.8853005201</v>
      </c>
      <c r="F74" s="256">
        <v>9371043.981249623</v>
      </c>
      <c r="G74" s="256">
        <v>7566124.0796355028</v>
      </c>
      <c r="H74" s="256">
        <v>86326.207851795261</v>
      </c>
      <c r="I74" s="256">
        <v>417202201.51795417</v>
      </c>
      <c r="J74" s="256">
        <v>59336082.184335649</v>
      </c>
      <c r="K74" s="256">
        <v>22389231.699316051</v>
      </c>
      <c r="L74" s="256">
        <v>247826.38965771676</v>
      </c>
      <c r="M74" s="256">
        <v>6372375.2612448307</v>
      </c>
      <c r="N74" s="256">
        <v>75999.642526634183</v>
      </c>
      <c r="O74" s="256">
        <v>43619526.458890721</v>
      </c>
      <c r="P74" s="256">
        <v>1089034.5059570803</v>
      </c>
      <c r="Q74" s="256">
        <v>4946334.6193529721</v>
      </c>
      <c r="R74" s="256">
        <v>131392.48580265869</v>
      </c>
      <c r="S74" s="256">
        <v>2099453.2349614832</v>
      </c>
      <c r="T74" s="256">
        <v>30312710.32317948</v>
      </c>
      <c r="U74" s="256">
        <v>40150486.249730721</v>
      </c>
      <c r="V74" s="256">
        <v>3699640.037897008</v>
      </c>
      <c r="W74" s="256">
        <v>535827.05015246023</v>
      </c>
      <c r="X74" s="256">
        <v>1791036.1170313102</v>
      </c>
      <c r="Y74" s="256">
        <v>1262870.5344924482</v>
      </c>
      <c r="Z74" s="256">
        <v>38096665.576938644</v>
      </c>
      <c r="AA74" s="256">
        <v>14823569.49616936</v>
      </c>
      <c r="AB74" s="256">
        <v>4104228.8287484064</v>
      </c>
      <c r="AC74" s="256">
        <v>1593096.7836831913</v>
      </c>
      <c r="AD74" s="256">
        <v>8833910.8747775983</v>
      </c>
      <c r="AE74" s="256">
        <v>63077.127199386377</v>
      </c>
      <c r="AF74" s="256">
        <v>9140948.0613114834</v>
      </c>
      <c r="AG74" s="256">
        <v>1452337516.061312</v>
      </c>
    </row>
    <row r="75" spans="1:33" x14ac:dyDescent="0.25">
      <c r="A75" s="255" t="s">
        <v>99</v>
      </c>
      <c r="B75" s="255" t="s">
        <v>201</v>
      </c>
      <c r="C75" s="256">
        <v>524300954.43660849</v>
      </c>
      <c r="D75" s="256">
        <v>82390166.307827741</v>
      </c>
      <c r="E75" s="256">
        <v>1180646.1995301605</v>
      </c>
      <c r="F75" s="256">
        <v>7581812.6439174479</v>
      </c>
      <c r="G75" s="256">
        <v>5855690.9555840055</v>
      </c>
      <c r="H75" s="256">
        <v>86298.456532142751</v>
      </c>
      <c r="I75" s="256">
        <v>381620852.40786242</v>
      </c>
      <c r="J75" s="256">
        <v>65297669.266819455</v>
      </c>
      <c r="K75" s="256">
        <v>24023713.934595566</v>
      </c>
      <c r="L75" s="256">
        <v>313568.47622586903</v>
      </c>
      <c r="M75" s="256">
        <v>7908638.1750203976</v>
      </c>
      <c r="N75" s="256">
        <v>80956.756296643362</v>
      </c>
      <c r="O75" s="256">
        <v>44841836.814767525</v>
      </c>
      <c r="P75" s="256">
        <v>788683.29227172001</v>
      </c>
      <c r="Q75" s="256">
        <v>5870343.73118251</v>
      </c>
      <c r="R75" s="256">
        <v>479480.64218731946</v>
      </c>
      <c r="S75" s="256">
        <v>2098450.5027705105</v>
      </c>
      <c r="T75" s="256">
        <v>28546055.027626343</v>
      </c>
      <c r="U75" s="256">
        <v>37853316.915304199</v>
      </c>
      <c r="V75" s="256">
        <v>3863040.1997191762</v>
      </c>
      <c r="W75" s="256">
        <v>527642.82257043966</v>
      </c>
      <c r="X75" s="256">
        <v>809827.33799961873</v>
      </c>
      <c r="Y75" s="256">
        <v>764338.06220563326</v>
      </c>
      <c r="Z75" s="256">
        <v>36866152.264524348</v>
      </c>
      <c r="AA75" s="256">
        <v>7721572.8820207343</v>
      </c>
      <c r="AB75" s="256">
        <v>3378595.9607542874</v>
      </c>
      <c r="AC75" s="256">
        <v>1703654.5997690039</v>
      </c>
      <c r="AD75" s="256">
        <v>17374718.21233318</v>
      </c>
      <c r="AE75" s="256">
        <v>63044.715173041084</v>
      </c>
      <c r="AF75" s="256">
        <v>9142986.4761568084</v>
      </c>
      <c r="AG75" s="256">
        <v>1303334708.4761567</v>
      </c>
    </row>
    <row r="76" spans="1:33" x14ac:dyDescent="0.25">
      <c r="A76" s="255" t="s">
        <v>99</v>
      </c>
      <c r="B76" s="255" t="s">
        <v>202</v>
      </c>
      <c r="C76" s="256">
        <v>485180329.21180528</v>
      </c>
      <c r="D76" s="256">
        <v>60718416.729817301</v>
      </c>
      <c r="E76" s="256">
        <v>876199.08835169754</v>
      </c>
      <c r="F76" s="256">
        <v>6590406.0811752761</v>
      </c>
      <c r="G76" s="256">
        <v>4176663.169216658</v>
      </c>
      <c r="H76" s="256">
        <v>86270.71963364612</v>
      </c>
      <c r="I76" s="256">
        <v>361391523.44192338</v>
      </c>
      <c r="J76" s="256">
        <v>61689647.468945101</v>
      </c>
      <c r="K76" s="256">
        <v>21747257.881895553</v>
      </c>
      <c r="L76" s="256">
        <v>299358.47312920081</v>
      </c>
      <c r="M76" s="256">
        <v>7134858.476764828</v>
      </c>
      <c r="N76" s="256">
        <v>68819.066521294197</v>
      </c>
      <c r="O76" s="256">
        <v>40776457.694278024</v>
      </c>
      <c r="P76" s="256">
        <v>700949.57167788921</v>
      </c>
      <c r="Q76" s="256">
        <v>5139303.9582637902</v>
      </c>
      <c r="R76" s="256">
        <v>2527693.6502506374</v>
      </c>
      <c r="S76" s="256">
        <v>2097448.316350284</v>
      </c>
      <c r="T76" s="256">
        <v>27459903.727251772</v>
      </c>
      <c r="U76" s="256">
        <v>37704676.128535226</v>
      </c>
      <c r="V76" s="256">
        <v>3835989.565137933</v>
      </c>
      <c r="W76" s="256">
        <v>611031.57074077532</v>
      </c>
      <c r="X76" s="256">
        <v>1909378.275805739</v>
      </c>
      <c r="Y76" s="256">
        <v>885556.8315551806</v>
      </c>
      <c r="Z76" s="256">
        <v>37885065.162983894</v>
      </c>
      <c r="AA76" s="256">
        <v>4984963.4579233527</v>
      </c>
      <c r="AB76" s="256">
        <v>3485502.6262471732</v>
      </c>
      <c r="AC76" s="256">
        <v>1605025.3642328752</v>
      </c>
      <c r="AD76" s="256">
        <v>16400142.959636023</v>
      </c>
      <c r="AE76" s="256">
        <v>63012.329950046318</v>
      </c>
      <c r="AF76" s="256">
        <v>9145025.8928614836</v>
      </c>
      <c r="AG76" s="256">
        <v>1207176876.8928611</v>
      </c>
    </row>
    <row r="77" spans="1:33" x14ac:dyDescent="0.25">
      <c r="A77" s="255" t="s">
        <v>99</v>
      </c>
      <c r="B77" s="255" t="s">
        <v>203</v>
      </c>
      <c r="C77" s="256">
        <v>696300329.85450542</v>
      </c>
      <c r="D77" s="256">
        <v>51820247.950655222</v>
      </c>
      <c r="E77" s="256">
        <v>939331.60597201355</v>
      </c>
      <c r="F77" s="256">
        <v>7936618.4091301644</v>
      </c>
      <c r="G77" s="256">
        <v>3637095.1827011192</v>
      </c>
      <c r="H77" s="256">
        <v>86242.99703599338</v>
      </c>
      <c r="I77" s="256">
        <v>396074119.77433324</v>
      </c>
      <c r="J77" s="256">
        <v>70310873.528317913</v>
      </c>
      <c r="K77" s="256">
        <v>24740274.851790782</v>
      </c>
      <c r="L77" s="256">
        <v>345249.76517678122</v>
      </c>
      <c r="M77" s="256">
        <v>7417785.0755922692</v>
      </c>
      <c r="N77" s="256">
        <v>85070.312684824865</v>
      </c>
      <c r="O77" s="256">
        <v>45855175.77309563</v>
      </c>
      <c r="P77" s="256">
        <v>1292430.4411440669</v>
      </c>
      <c r="Q77" s="256">
        <v>6108885.1457185019</v>
      </c>
      <c r="R77" s="256">
        <v>654575.65908270748</v>
      </c>
      <c r="S77" s="256">
        <v>2096446.6730632572</v>
      </c>
      <c r="T77" s="256">
        <v>26147304.568840906</v>
      </c>
      <c r="U77" s="256">
        <v>38599899.847588502</v>
      </c>
      <c r="V77" s="256">
        <v>4303687.6152923591</v>
      </c>
      <c r="W77" s="256">
        <v>292123.64417425334</v>
      </c>
      <c r="X77" s="256">
        <v>1764583.544751833</v>
      </c>
      <c r="Y77" s="256">
        <v>990610.9321255692</v>
      </c>
      <c r="Z77" s="256">
        <v>41177957.87254741</v>
      </c>
      <c r="AA77" s="256">
        <v>10648638.115187924</v>
      </c>
      <c r="AB77" s="256">
        <v>3275023.4671204966</v>
      </c>
      <c r="AC77" s="256">
        <v>1624916.6172890773</v>
      </c>
      <c r="AD77" s="256">
        <v>15001656.803655097</v>
      </c>
      <c r="AE77" s="256">
        <v>62979.971426555567</v>
      </c>
      <c r="AF77" s="256">
        <v>9147066.2941166442</v>
      </c>
      <c r="AG77" s="256">
        <v>1468737202.2941165</v>
      </c>
    </row>
    <row r="78" spans="1:33" x14ac:dyDescent="0.25">
      <c r="A78" s="255" t="s">
        <v>99</v>
      </c>
      <c r="B78" s="255" t="s">
        <v>204</v>
      </c>
      <c r="C78" s="256">
        <v>1019737681.3962544</v>
      </c>
      <c r="D78" s="256">
        <v>65412298.40166337</v>
      </c>
      <c r="E78" s="256">
        <v>1163750.7244190054</v>
      </c>
      <c r="F78" s="256">
        <v>10739499.574997522</v>
      </c>
      <c r="G78" s="256">
        <v>4189228.6140266256</v>
      </c>
      <c r="H78" s="256">
        <v>86215.288638992643</v>
      </c>
      <c r="I78" s="256">
        <v>451581362.02744126</v>
      </c>
      <c r="J78" s="256">
        <v>82934337.6886013</v>
      </c>
      <c r="K78" s="256">
        <v>27710997.089398164</v>
      </c>
      <c r="L78" s="256">
        <v>438933.48255554051</v>
      </c>
      <c r="M78" s="256">
        <v>9320543.9672366362</v>
      </c>
      <c r="N78" s="256">
        <v>103359.92296909893</v>
      </c>
      <c r="O78" s="256">
        <v>57819154.505348757</v>
      </c>
      <c r="P78" s="256">
        <v>897656.32029800431</v>
      </c>
      <c r="Q78" s="256">
        <v>7406348.0396857811</v>
      </c>
      <c r="R78" s="256">
        <v>580134.38597879815</v>
      </c>
      <c r="S78" s="256">
        <v>2095445.5704867137</v>
      </c>
      <c r="T78" s="256">
        <v>28532908.717904635</v>
      </c>
      <c r="U78" s="256">
        <v>45141469.327834941</v>
      </c>
      <c r="V78" s="256">
        <v>3535394.7393752337</v>
      </c>
      <c r="W78" s="256">
        <v>-449757.25301661831</v>
      </c>
      <c r="X78" s="256">
        <v>2120963.7397826272</v>
      </c>
      <c r="Y78" s="256">
        <v>1240383.7467939407</v>
      </c>
      <c r="Z78" s="256">
        <v>43537401.809656069</v>
      </c>
      <c r="AA78" s="256">
        <v>8297963.99403797</v>
      </c>
      <c r="AB78" s="256">
        <v>3238262.9052553554</v>
      </c>
      <c r="AC78" s="256">
        <v>1863627.4288037061</v>
      </c>
      <c r="AD78" s="256">
        <v>14332493.204064637</v>
      </c>
      <c r="AE78" s="256">
        <v>62947.639507494634</v>
      </c>
      <c r="AF78" s="256">
        <v>9149107.6677334681</v>
      </c>
      <c r="AG78" s="256">
        <v>1902820114.6677327</v>
      </c>
    </row>
    <row r="79" spans="1:33" x14ac:dyDescent="0.25">
      <c r="A79" s="255" t="s">
        <v>99</v>
      </c>
      <c r="B79" s="255" t="s">
        <v>205</v>
      </c>
      <c r="C79" s="256">
        <v>1145686934.7493978</v>
      </c>
      <c r="D79" s="256">
        <v>73026331.510400549</v>
      </c>
      <c r="E79" s="256">
        <v>1156721.5369875797</v>
      </c>
      <c r="F79" s="256">
        <v>11766399.1917213</v>
      </c>
      <c r="G79" s="256">
        <v>4552375.4171084613</v>
      </c>
      <c r="H79" s="256">
        <v>86187.59438413108</v>
      </c>
      <c r="I79" s="256">
        <v>497484546.13267499</v>
      </c>
      <c r="J79" s="256">
        <v>86673414.317619041</v>
      </c>
      <c r="K79" s="256">
        <v>30663651.003826793</v>
      </c>
      <c r="L79" s="256">
        <v>414300.78349188122</v>
      </c>
      <c r="M79" s="256">
        <v>9640049.547650151</v>
      </c>
      <c r="N79" s="256">
        <v>133256.74686956126</v>
      </c>
      <c r="O79" s="256">
        <v>56749704.949107111</v>
      </c>
      <c r="P79" s="256">
        <v>673946.09418704349</v>
      </c>
      <c r="Q79" s="256">
        <v>8766716.8941346668</v>
      </c>
      <c r="R79" s="256">
        <v>869858.52346258413</v>
      </c>
      <c r="S79" s="256">
        <v>2094445.0069760077</v>
      </c>
      <c r="T79" s="256">
        <v>28954321.59539295</v>
      </c>
      <c r="U79" s="256">
        <v>44036519.12495786</v>
      </c>
      <c r="V79" s="256">
        <v>4594488.3096428383</v>
      </c>
      <c r="W79" s="256">
        <v>1263028.9805910131</v>
      </c>
      <c r="X79" s="256">
        <v>2136235.4951145253</v>
      </c>
      <c r="Y79" s="256">
        <v>3420610.2749519036</v>
      </c>
      <c r="Z79" s="256">
        <v>45406882.24655021</v>
      </c>
      <c r="AA79" s="256">
        <v>8244388.7879824387</v>
      </c>
      <c r="AB79" s="256">
        <v>4658218.1104005454</v>
      </c>
      <c r="AC79" s="256">
        <v>1846228.0394223845</v>
      </c>
      <c r="AD79" s="256">
        <v>16029666.700869767</v>
      </c>
      <c r="AE79" s="256">
        <v>62915.334123550849</v>
      </c>
      <c r="AF79" s="256">
        <v>9151150.009108657</v>
      </c>
      <c r="AG79" s="256">
        <v>2100243493.0091081</v>
      </c>
    </row>
    <row r="80" spans="1:33" x14ac:dyDescent="0.25">
      <c r="A80" s="255" t="s">
        <v>99</v>
      </c>
      <c r="B80" s="255" t="s">
        <v>206</v>
      </c>
      <c r="C80" s="256">
        <v>990188928.19957614</v>
      </c>
      <c r="D80" s="256">
        <v>64753395.023038432</v>
      </c>
      <c r="E80" s="256">
        <v>1116905.9289469472</v>
      </c>
      <c r="F80" s="256">
        <v>10340804.779988077</v>
      </c>
      <c r="G80" s="256">
        <v>4042280.1541783568</v>
      </c>
      <c r="H80" s="256">
        <v>86159.914271927672</v>
      </c>
      <c r="I80" s="256">
        <v>446722731.73077154</v>
      </c>
      <c r="J80" s="256">
        <v>80710596.934107274</v>
      </c>
      <c r="K80" s="256">
        <v>28640037.10320808</v>
      </c>
      <c r="L80" s="256">
        <v>417372.27116751618</v>
      </c>
      <c r="M80" s="256">
        <v>9134601.5745738912</v>
      </c>
      <c r="N80" s="256">
        <v>120099.97837923496</v>
      </c>
      <c r="O80" s="256">
        <v>55537949.082712673</v>
      </c>
      <c r="P80" s="256">
        <v>673968.22239381028</v>
      </c>
      <c r="Q80" s="256">
        <v>8028609.1387829408</v>
      </c>
      <c r="R80" s="256">
        <v>752709.98175686982</v>
      </c>
      <c r="S80" s="256">
        <v>2093444.9821463143</v>
      </c>
      <c r="T80" s="256">
        <v>28411201.486843891</v>
      </c>
      <c r="U80" s="256">
        <v>41147936.218580805</v>
      </c>
      <c r="V80" s="256">
        <v>4463072.7380803814</v>
      </c>
      <c r="W80" s="256">
        <v>577969.98767782515</v>
      </c>
      <c r="X80" s="256">
        <v>2099991.0756346425</v>
      </c>
      <c r="Y80" s="256">
        <v>1061228.605978969</v>
      </c>
      <c r="Z80" s="256">
        <v>43923126.022811204</v>
      </c>
      <c r="AA80" s="256">
        <v>7689136.1356586833</v>
      </c>
      <c r="AB80" s="256">
        <v>4581793.1660791747</v>
      </c>
      <c r="AC80" s="256">
        <v>1818859.220680967</v>
      </c>
      <c r="AD80" s="256">
        <v>16334414.286728473</v>
      </c>
      <c r="AE80" s="256">
        <v>62883.055244973519</v>
      </c>
      <c r="AF80" s="256">
        <v>9153193.3226053733</v>
      </c>
      <c r="AG80" s="256">
        <v>1864685400.3226054</v>
      </c>
    </row>
    <row r="81" spans="1:33" x14ac:dyDescent="0.25">
      <c r="A81" s="255" t="s">
        <v>99</v>
      </c>
      <c r="B81" s="255" t="s">
        <v>207</v>
      </c>
      <c r="C81" s="256">
        <v>628618591.78789651</v>
      </c>
      <c r="D81" s="256">
        <v>48651992.352282897</v>
      </c>
      <c r="E81" s="256">
        <v>854738.68144711398</v>
      </c>
      <c r="F81" s="256">
        <v>7113685.7286782982</v>
      </c>
      <c r="G81" s="256">
        <v>3221073.2013356192</v>
      </c>
      <c r="H81" s="256">
        <v>86132.248359513367</v>
      </c>
      <c r="I81" s="256">
        <v>373136109.7496112</v>
      </c>
      <c r="J81" s="256">
        <v>71240159.741292715</v>
      </c>
      <c r="K81" s="256">
        <v>23192716.20957882</v>
      </c>
      <c r="L81" s="256">
        <v>322131.78811613191</v>
      </c>
      <c r="M81" s="256">
        <v>8033093.2288517887</v>
      </c>
      <c r="N81" s="256">
        <v>74509.989075812162</v>
      </c>
      <c r="O81" s="256">
        <v>48395137.786591589</v>
      </c>
      <c r="P81" s="256">
        <v>891705.4282268855</v>
      </c>
      <c r="Q81" s="256">
        <v>6309743.4026586246</v>
      </c>
      <c r="R81" s="256">
        <v>1948341.1790952156</v>
      </c>
      <c r="S81" s="256">
        <v>2092445.4969012523</v>
      </c>
      <c r="T81" s="256">
        <v>24683299.828068372</v>
      </c>
      <c r="U81" s="256">
        <v>39672396.62077345</v>
      </c>
      <c r="V81" s="256">
        <v>3684617.3548030192</v>
      </c>
      <c r="W81" s="256">
        <v>460893.62896507076</v>
      </c>
      <c r="X81" s="256">
        <v>1727655.7423503988</v>
      </c>
      <c r="Y81" s="256">
        <v>2193021.2947593094</v>
      </c>
      <c r="Z81" s="256">
        <v>40450667.292306438</v>
      </c>
      <c r="AA81" s="256">
        <v>7196179.7805213407</v>
      </c>
      <c r="AB81" s="256">
        <v>3784749.8444647845</v>
      </c>
      <c r="AC81" s="256">
        <v>1608074.0687038598</v>
      </c>
      <c r="AD81" s="256">
        <v>15592344.741402179</v>
      </c>
      <c r="AE81" s="256">
        <v>62850.802881777665</v>
      </c>
      <c r="AF81" s="256">
        <v>9155237.6204571575</v>
      </c>
      <c r="AG81" s="256">
        <v>1374454296.6204576</v>
      </c>
    </row>
    <row r="82" spans="1:33" x14ac:dyDescent="0.25">
      <c r="A82" s="255" t="s">
        <v>99</v>
      </c>
      <c r="B82" s="255" t="s">
        <v>208</v>
      </c>
      <c r="C82" s="256">
        <v>524884924.27334094</v>
      </c>
      <c r="D82" s="256">
        <v>54523595.640392236</v>
      </c>
      <c r="E82" s="256">
        <v>931447.91362512857</v>
      </c>
      <c r="F82" s="256">
        <v>6653998.3929699026</v>
      </c>
      <c r="G82" s="256">
        <v>3781011.1829537386</v>
      </c>
      <c r="H82" s="256">
        <v>86104.596718038913</v>
      </c>
      <c r="I82" s="256">
        <v>366485101.49698746</v>
      </c>
      <c r="J82" s="256">
        <v>69047302.874928743</v>
      </c>
      <c r="K82" s="256">
        <v>24353788.227445845</v>
      </c>
      <c r="L82" s="256">
        <v>315203.92541051313</v>
      </c>
      <c r="M82" s="256">
        <v>6437510.767766146</v>
      </c>
      <c r="N82" s="256">
        <v>64186.422402936398</v>
      </c>
      <c r="O82" s="256">
        <v>51331086.684229188</v>
      </c>
      <c r="P82" s="256">
        <v>1366811.879258997</v>
      </c>
      <c r="Q82" s="256">
        <v>6201248.9339092299</v>
      </c>
      <c r="R82" s="256">
        <v>588311.23514820833</v>
      </c>
      <c r="S82" s="256">
        <v>2091446.5525128311</v>
      </c>
      <c r="T82" s="256">
        <v>26004664.814533681</v>
      </c>
      <c r="U82" s="256">
        <v>39563240.366746679</v>
      </c>
      <c r="V82" s="256">
        <v>3865434.4371123095</v>
      </c>
      <c r="W82" s="256">
        <v>241245.26716102785</v>
      </c>
      <c r="X82" s="256">
        <v>1593112.4714710184</v>
      </c>
      <c r="Y82" s="256">
        <v>1225248.9289685832</v>
      </c>
      <c r="Z82" s="256">
        <v>35580877.248623684</v>
      </c>
      <c r="AA82" s="256">
        <v>8192205.8280647546</v>
      </c>
      <c r="AB82" s="256">
        <v>3109582.3411096931</v>
      </c>
      <c r="AC82" s="256">
        <v>1418982.1140005114</v>
      </c>
      <c r="AD82" s="256">
        <v>17672458.605151411</v>
      </c>
      <c r="AE82" s="256">
        <v>62818.57705668667</v>
      </c>
      <c r="AF82" s="256">
        <v>9157282.9170326777</v>
      </c>
      <c r="AG82" s="256">
        <v>1266830234.917033</v>
      </c>
    </row>
    <row r="83" spans="1:33" x14ac:dyDescent="0.25">
      <c r="A83" s="255" t="s">
        <v>99</v>
      </c>
      <c r="B83" s="255" t="s">
        <v>209</v>
      </c>
      <c r="C83" s="256">
        <v>604591780.69211495</v>
      </c>
      <c r="D83" s="256">
        <v>86637166.669652224</v>
      </c>
      <c r="E83" s="256">
        <v>1335265.9090685654</v>
      </c>
      <c r="F83" s="256">
        <v>8536550.6456578448</v>
      </c>
      <c r="G83" s="256">
        <v>6305952.7613574555</v>
      </c>
      <c r="H83" s="256">
        <v>86049.322149039916</v>
      </c>
      <c r="I83" s="256">
        <v>388907428.58644205</v>
      </c>
      <c r="J83" s="256">
        <v>73244062.511432022</v>
      </c>
      <c r="K83" s="256">
        <v>27129752.615156393</v>
      </c>
      <c r="L83" s="256">
        <v>305184.22366345761</v>
      </c>
      <c r="M83" s="256">
        <v>5247277.6381547712</v>
      </c>
      <c r="N83" s="256">
        <v>86342.367699461392</v>
      </c>
      <c r="O83" s="256">
        <v>58442397.528628707</v>
      </c>
      <c r="P83" s="256">
        <v>1482791.9535593358</v>
      </c>
      <c r="Q83" s="256">
        <v>6108693.772527298</v>
      </c>
      <c r="R83" s="256">
        <v>333892.05700429168</v>
      </c>
      <c r="S83" s="256">
        <v>2089449.7457323419</v>
      </c>
      <c r="T83" s="256">
        <v>24293078.86218822</v>
      </c>
      <c r="U83" s="256">
        <v>39811006.846424066</v>
      </c>
      <c r="V83" s="256">
        <v>3623109.5120535917</v>
      </c>
      <c r="W83" s="256">
        <v>237346.70390379685</v>
      </c>
      <c r="X83" s="256">
        <v>1281796.931508394</v>
      </c>
      <c r="Y83" s="256">
        <v>1207969.123806112</v>
      </c>
      <c r="Z83" s="256">
        <v>43498604.306523539</v>
      </c>
      <c r="AA83" s="256">
        <v>9686091.8286366593</v>
      </c>
      <c r="AB83" s="256">
        <v>3496679.2937925817</v>
      </c>
      <c r="AC83" s="256">
        <v>2210980.6109920014</v>
      </c>
      <c r="AD83" s="256">
        <v>15707042.801724005</v>
      </c>
      <c r="AE83" s="256">
        <v>62754.178446998449</v>
      </c>
      <c r="AF83" s="256">
        <v>9161375.5590439681</v>
      </c>
      <c r="AG83" s="256">
        <v>1425147875.5590436</v>
      </c>
    </row>
    <row r="84" spans="1:33" x14ac:dyDescent="0.25">
      <c r="A84" s="255" t="s">
        <v>99</v>
      </c>
      <c r="B84" s="255" t="s">
        <v>210</v>
      </c>
      <c r="C84" s="256">
        <v>728798017.0653913</v>
      </c>
      <c r="D84" s="256">
        <v>121380156.46832412</v>
      </c>
      <c r="E84" s="256">
        <v>1748385.0927888621</v>
      </c>
      <c r="F84" s="256">
        <v>10713242.758722773</v>
      </c>
      <c r="G84" s="256">
        <v>8487148.9009961952</v>
      </c>
      <c r="H84" s="256">
        <v>86021.713776731427</v>
      </c>
      <c r="I84" s="256">
        <v>411150749.89383882</v>
      </c>
      <c r="J84" s="256">
        <v>70619860.901168764</v>
      </c>
      <c r="K84" s="256">
        <v>28110658.179057777</v>
      </c>
      <c r="L84" s="256">
        <v>326761.35747419973</v>
      </c>
      <c r="M84" s="256">
        <v>8525333.5811630338</v>
      </c>
      <c r="N84" s="256">
        <v>114551.42855170062</v>
      </c>
      <c r="O84" s="256">
        <v>56807654.772979297</v>
      </c>
      <c r="P84" s="256">
        <v>1013877.2222720743</v>
      </c>
      <c r="Q84" s="256">
        <v>6763367.7856975403</v>
      </c>
      <c r="R84" s="256">
        <v>200047.4448151601</v>
      </c>
      <c r="S84" s="256">
        <v>2088452.4329817472</v>
      </c>
      <c r="T84" s="256">
        <v>25680273.407877173</v>
      </c>
      <c r="U84" s="256">
        <v>37418956.63912531</v>
      </c>
      <c r="V84" s="256">
        <v>3800162.0659879819</v>
      </c>
      <c r="W84" s="256">
        <v>278138.00780274911</v>
      </c>
      <c r="X84" s="256">
        <v>1521000.4889454457</v>
      </c>
      <c r="Y84" s="256">
        <v>1206605.9637318475</v>
      </c>
      <c r="Z84" s="256">
        <v>38190578.26154945</v>
      </c>
      <c r="AA84" s="256">
        <v>16535195.00358649</v>
      </c>
      <c r="AB84" s="256">
        <v>3853276.9510812643</v>
      </c>
      <c r="AC84" s="256">
        <v>1864697.0820219647</v>
      </c>
      <c r="AD84" s="256">
        <v>16140746.095822668</v>
      </c>
      <c r="AE84" s="256">
        <v>62722.032467654455</v>
      </c>
      <c r="AF84" s="256">
        <v>9163423.9426723514</v>
      </c>
      <c r="AG84" s="256">
        <v>1612650062.9426723</v>
      </c>
    </row>
    <row r="85" spans="1:33" x14ac:dyDescent="0.25">
      <c r="A85" s="255" t="s">
        <v>99</v>
      </c>
      <c r="B85" s="255" t="s">
        <v>211</v>
      </c>
      <c r="C85" s="256">
        <v>684151440.81952608</v>
      </c>
      <c r="D85" s="256">
        <v>125577877.3980037</v>
      </c>
      <c r="E85" s="256">
        <v>1607660.6454636983</v>
      </c>
      <c r="F85" s="256">
        <v>10477795.878331065</v>
      </c>
      <c r="G85" s="256">
        <v>8796137.1390056126</v>
      </c>
      <c r="H85" s="256">
        <v>85994.119669864289</v>
      </c>
      <c r="I85" s="256">
        <v>409328129.42670935</v>
      </c>
      <c r="J85" s="256">
        <v>62500636.228036828</v>
      </c>
      <c r="K85" s="256">
        <v>25510885.239839695</v>
      </c>
      <c r="L85" s="256">
        <v>274445.87309368729</v>
      </c>
      <c r="M85" s="256">
        <v>7623571.7447089013</v>
      </c>
      <c r="N85" s="256">
        <v>92788.646828119628</v>
      </c>
      <c r="O85" s="256">
        <v>51670940.498339444</v>
      </c>
      <c r="P85" s="256">
        <v>2353443.3629925135</v>
      </c>
      <c r="Q85" s="256">
        <v>6223448.0169317061</v>
      </c>
      <c r="R85" s="256">
        <v>190783.30126321845</v>
      </c>
      <c r="S85" s="256">
        <v>2087455.6612564933</v>
      </c>
      <c r="T85" s="256">
        <v>26795646.566137858</v>
      </c>
      <c r="U85" s="256">
        <v>35228015.79011108</v>
      </c>
      <c r="V85" s="256">
        <v>3880135.6631014673</v>
      </c>
      <c r="W85" s="256">
        <v>594065.18327206536</v>
      </c>
      <c r="X85" s="256">
        <v>1698275.7936842169</v>
      </c>
      <c r="Y85" s="256">
        <v>1158619.2306324586</v>
      </c>
      <c r="Z85" s="256">
        <v>35970380.654732369</v>
      </c>
      <c r="AA85" s="256">
        <v>14620736.70490556</v>
      </c>
      <c r="AB85" s="256">
        <v>3798439.2856276534</v>
      </c>
      <c r="AC85" s="256">
        <v>1646784.8083433828</v>
      </c>
      <c r="AD85" s="256">
        <v>16735429.406478284</v>
      </c>
      <c r="AE85" s="256">
        <v>62689.912973608829</v>
      </c>
      <c r="AF85" s="256">
        <v>9165473.3311477564</v>
      </c>
      <c r="AG85" s="256">
        <v>1549908126.3311481</v>
      </c>
    </row>
    <row r="86" spans="1:33" x14ac:dyDescent="0.25">
      <c r="A86" s="255" t="s">
        <v>99</v>
      </c>
      <c r="B86" s="255" t="s">
        <v>212</v>
      </c>
      <c r="C86" s="256">
        <v>611434852.98406255</v>
      </c>
      <c r="D86" s="256">
        <v>110642968.10868578</v>
      </c>
      <c r="E86" s="256">
        <v>1612266.422760495</v>
      </c>
      <c r="F86" s="256">
        <v>9383653.3514047097</v>
      </c>
      <c r="G86" s="256">
        <v>7588157.5932900226</v>
      </c>
      <c r="H86" s="256">
        <v>85966.539796453464</v>
      </c>
      <c r="I86" s="256">
        <v>399055771.55339324</v>
      </c>
      <c r="J86" s="256">
        <v>56374940.449753501</v>
      </c>
      <c r="K86" s="256">
        <v>21266755.679136891</v>
      </c>
      <c r="L86" s="256">
        <v>234566.77661287197</v>
      </c>
      <c r="M86" s="256">
        <v>6031430.0122043714</v>
      </c>
      <c r="N86" s="256">
        <v>72612.213110900251</v>
      </c>
      <c r="O86" s="256">
        <v>41280714.25903251</v>
      </c>
      <c r="P86" s="256">
        <v>1046739.0063757837</v>
      </c>
      <c r="Q86" s="256">
        <v>4670123.7638160018</v>
      </c>
      <c r="R86" s="256">
        <v>124381.8567554179</v>
      </c>
      <c r="S86" s="256">
        <v>2086459.429808591</v>
      </c>
      <c r="T86" s="256">
        <v>29650151.082968034</v>
      </c>
      <c r="U86" s="256">
        <v>38897630.53745988</v>
      </c>
      <c r="V86" s="256">
        <v>3593858.9557289402</v>
      </c>
      <c r="W86" s="256">
        <v>518503.04025303922</v>
      </c>
      <c r="X86" s="256">
        <v>1757656.1073653465</v>
      </c>
      <c r="Y86" s="256">
        <v>1202180.3041449864</v>
      </c>
      <c r="Z86" s="256">
        <v>36937614.253243819</v>
      </c>
      <c r="AA86" s="256">
        <v>14019947.401477156</v>
      </c>
      <c r="AB86" s="256">
        <v>3971430.221615335</v>
      </c>
      <c r="AC86" s="256">
        <v>1547544.0254248723</v>
      </c>
      <c r="AD86" s="256">
        <v>8511458.2503947988</v>
      </c>
      <c r="AE86" s="256">
        <v>62657.819923806877</v>
      </c>
      <c r="AF86" s="256">
        <v>9167523.7215011641</v>
      </c>
      <c r="AG86" s="256">
        <v>1422830515.7215016</v>
      </c>
    </row>
    <row r="87" spans="1:33" x14ac:dyDescent="0.25">
      <c r="A87" s="255" t="s">
        <v>99</v>
      </c>
      <c r="B87" s="255" t="s">
        <v>213</v>
      </c>
      <c r="C87" s="256">
        <v>523142893.93633854</v>
      </c>
      <c r="D87" s="256">
        <v>82232989.207386613</v>
      </c>
      <c r="E87" s="256">
        <v>1179469.0992555905</v>
      </c>
      <c r="F87" s="256">
        <v>7561853.7376188012</v>
      </c>
      <c r="G87" s="256">
        <v>5839238.0452695638</v>
      </c>
      <c r="H87" s="256">
        <v>85938.974130862814</v>
      </c>
      <c r="I87" s="256">
        <v>362385507.19064689</v>
      </c>
      <c r="J87" s="256">
        <v>62019758.928588912</v>
      </c>
      <c r="K87" s="256">
        <v>22796030.708235651</v>
      </c>
      <c r="L87" s="256">
        <v>297667.12600983516</v>
      </c>
      <c r="M87" s="256">
        <v>7507583.748674592</v>
      </c>
      <c r="N87" s="256">
        <v>76753.178068170528</v>
      </c>
      <c r="O87" s="256">
        <v>42644740.595760539</v>
      </c>
      <c r="P87" s="256">
        <v>752366.77122302854</v>
      </c>
      <c r="Q87" s="256">
        <v>5569719.3637771672</v>
      </c>
      <c r="R87" s="256">
        <v>460670.65103160834</v>
      </c>
      <c r="S87" s="256">
        <v>2085463.7379836997</v>
      </c>
      <c r="T87" s="256">
        <v>27785287.465330206</v>
      </c>
      <c r="U87" s="256">
        <v>36659978.457118705</v>
      </c>
      <c r="V87" s="256">
        <v>3732304.5864450382</v>
      </c>
      <c r="W87" s="256">
        <v>509677.22522719298</v>
      </c>
      <c r="X87" s="256">
        <v>777525.92709326348</v>
      </c>
      <c r="Y87" s="256">
        <v>739223.66753227892</v>
      </c>
      <c r="Z87" s="256">
        <v>35536028.18223846</v>
      </c>
      <c r="AA87" s="256">
        <v>7454696.5824970547</v>
      </c>
      <c r="AB87" s="256">
        <v>3261356.1111864117</v>
      </c>
      <c r="AC87" s="256">
        <v>1642599.7865668088</v>
      </c>
      <c r="AD87" s="256">
        <v>16810476.255484115</v>
      </c>
      <c r="AE87" s="256">
        <v>62625.753280458775</v>
      </c>
      <c r="AF87" s="256">
        <v>9169575.112098882</v>
      </c>
      <c r="AG87" s="256">
        <v>1270780000.1120987</v>
      </c>
    </row>
    <row r="88" spans="1:33" x14ac:dyDescent="0.25">
      <c r="A88" s="255" t="s">
        <v>99</v>
      </c>
      <c r="B88" s="255" t="s">
        <v>214</v>
      </c>
      <c r="C88" s="256">
        <v>483045280.80923396</v>
      </c>
      <c r="D88" s="256">
        <v>60478602.126866609</v>
      </c>
      <c r="E88" s="256">
        <v>872195.41393496515</v>
      </c>
      <c r="F88" s="256">
        <v>6559204.6011394477</v>
      </c>
      <c r="G88" s="256">
        <v>4150611.6261696005</v>
      </c>
      <c r="H88" s="256">
        <v>85911.422655428309</v>
      </c>
      <c r="I88" s="256">
        <v>341405149.70557642</v>
      </c>
      <c r="J88" s="256">
        <v>58167736.730226554</v>
      </c>
      <c r="K88" s="256">
        <v>20497629.32561712</v>
      </c>
      <c r="L88" s="256">
        <v>282054.49677664909</v>
      </c>
      <c r="M88" s="256">
        <v>6722438.4738492714</v>
      </c>
      <c r="N88" s="256">
        <v>64690.452296640848</v>
      </c>
      <c r="O88" s="256">
        <v>38452577.758942582</v>
      </c>
      <c r="P88" s="256">
        <v>669363.01981329755</v>
      </c>
      <c r="Q88" s="256">
        <v>4835798.2859676573</v>
      </c>
      <c r="R88" s="256">
        <v>2414864.1656616773</v>
      </c>
      <c r="S88" s="256">
        <v>2084468.5852721448</v>
      </c>
      <c r="T88" s="256">
        <v>26688366.455655701</v>
      </c>
      <c r="U88" s="256">
        <v>36405491.372020334</v>
      </c>
      <c r="V88" s="256">
        <v>3694037.7457839651</v>
      </c>
      <c r="W88" s="256">
        <v>588434.08314690634</v>
      </c>
      <c r="X88" s="256">
        <v>1843906.1966766429</v>
      </c>
      <c r="Y88" s="256">
        <v>850640.24954425008</v>
      </c>
      <c r="Z88" s="256">
        <v>36401508.846416213</v>
      </c>
      <c r="AA88" s="256">
        <v>4853953.0456059063</v>
      </c>
      <c r="AB88" s="256">
        <v>3353406.5222896398</v>
      </c>
      <c r="AC88" s="256">
        <v>1543380.3964833671</v>
      </c>
      <c r="AD88" s="256">
        <v>15843673.373366343</v>
      </c>
      <c r="AE88" s="256">
        <v>62593.71301074091</v>
      </c>
      <c r="AF88" s="256">
        <v>9171627.502808569</v>
      </c>
      <c r="AG88" s="256">
        <v>1172089596.5028088</v>
      </c>
    </row>
    <row r="89" spans="1:33" x14ac:dyDescent="0.25">
      <c r="A89" s="255" t="s">
        <v>99</v>
      </c>
      <c r="B89" s="255" t="s">
        <v>215</v>
      </c>
      <c r="C89" s="256">
        <v>696481263.79538572</v>
      </c>
      <c r="D89" s="256">
        <v>51733159.382714599</v>
      </c>
      <c r="E89" s="256">
        <v>939031.89755538048</v>
      </c>
      <c r="F89" s="256">
        <v>7932142.8936675834</v>
      </c>
      <c r="G89" s="256">
        <v>3629049.145315778</v>
      </c>
      <c r="H89" s="256">
        <v>85883.885361008623</v>
      </c>
      <c r="I89" s="256">
        <v>376598823.66541147</v>
      </c>
      <c r="J89" s="256">
        <v>66640751.442992173</v>
      </c>
      <c r="K89" s="256">
        <v>23455135.259831175</v>
      </c>
      <c r="L89" s="256">
        <v>327389.34629615035</v>
      </c>
      <c r="M89" s="256">
        <v>7034049.1198306987</v>
      </c>
      <c r="N89" s="256">
        <v>80541.006115056502</v>
      </c>
      <c r="O89" s="256">
        <v>43489462.311441496</v>
      </c>
      <c r="P89" s="256">
        <v>1219234.2880110103</v>
      </c>
      <c r="Q89" s="256">
        <v>5792784.9925914798</v>
      </c>
      <c r="R89" s="256">
        <v>619857.59613881179</v>
      </c>
      <c r="S89" s="256">
        <v>2083473.9713405317</v>
      </c>
      <c r="T89" s="256">
        <v>25467007.590876855</v>
      </c>
      <c r="U89" s="256">
        <v>37402118.39143607</v>
      </c>
      <c r="V89" s="256">
        <v>4172873.649185326</v>
      </c>
      <c r="W89" s="256">
        <v>274946.84551341779</v>
      </c>
      <c r="X89" s="256">
        <v>1703822.4732270336</v>
      </c>
      <c r="Y89" s="256">
        <v>956537.25401297805</v>
      </c>
      <c r="Z89" s="256">
        <v>39788094.491375856</v>
      </c>
      <c r="AA89" s="256">
        <v>10230081.100336974</v>
      </c>
      <c r="AB89" s="256">
        <v>3166847.8075204547</v>
      </c>
      <c r="AC89" s="256">
        <v>1568512.0922020078</v>
      </c>
      <c r="AD89" s="256">
        <v>14512436.605225313</v>
      </c>
      <c r="AE89" s="256">
        <v>62561.699087714216</v>
      </c>
      <c r="AF89" s="256">
        <v>9173680.8949336335</v>
      </c>
      <c r="AG89" s="256">
        <v>1436621554.8949332</v>
      </c>
    </row>
    <row r="90" spans="1:33" x14ac:dyDescent="0.25">
      <c r="A90" s="255" t="s">
        <v>99</v>
      </c>
      <c r="B90" s="255" t="s">
        <v>216</v>
      </c>
      <c r="C90" s="256">
        <v>1023446040.1190314</v>
      </c>
      <c r="D90" s="256">
        <v>65636721.528004773</v>
      </c>
      <c r="E90" s="256">
        <v>1167449.6730844039</v>
      </c>
      <c r="F90" s="256">
        <v>10773404.075792342</v>
      </c>
      <c r="G90" s="256">
        <v>4198905.2418409307</v>
      </c>
      <c r="H90" s="256">
        <v>85856.362246021876</v>
      </c>
      <c r="I90" s="256">
        <v>432322065.19325483</v>
      </c>
      <c r="J90" s="256">
        <v>79294057.132964522</v>
      </c>
      <c r="K90" s="256">
        <v>26457764.897056665</v>
      </c>
      <c r="L90" s="256">
        <v>419586.34139246505</v>
      </c>
      <c r="M90" s="256">
        <v>8909716.6163567435</v>
      </c>
      <c r="N90" s="256">
        <v>98543.71479365023</v>
      </c>
      <c r="O90" s="256">
        <v>55409930.06562338</v>
      </c>
      <c r="P90" s="256">
        <v>858317.96250204067</v>
      </c>
      <c r="Q90" s="256">
        <v>7079517.6926856693</v>
      </c>
      <c r="R90" s="256">
        <v>554226.48734134017</v>
      </c>
      <c r="S90" s="256">
        <v>2082479.8960285131</v>
      </c>
      <c r="T90" s="256">
        <v>27803468.527142458</v>
      </c>
      <c r="U90" s="256">
        <v>43798392.452337794</v>
      </c>
      <c r="V90" s="256">
        <v>3398570.3453482804</v>
      </c>
      <c r="W90" s="256">
        <v>-462729.01621984428</v>
      </c>
      <c r="X90" s="256">
        <v>2050705.5400311498</v>
      </c>
      <c r="Y90" s="256">
        <v>1197073.6631586303</v>
      </c>
      <c r="Z90" s="256">
        <v>42111411.427289516</v>
      </c>
      <c r="AA90" s="256">
        <v>8030138.6158045335</v>
      </c>
      <c r="AB90" s="256">
        <v>3134364.7119250181</v>
      </c>
      <c r="AC90" s="256">
        <v>1800937.6608972906</v>
      </c>
      <c r="AD90" s="256">
        <v>13815416.360795083</v>
      </c>
      <c r="AE90" s="256">
        <v>62529.711490081114</v>
      </c>
      <c r="AF90" s="256">
        <v>9175735.2909052689</v>
      </c>
      <c r="AG90" s="256">
        <v>1874710598.2909052</v>
      </c>
    </row>
    <row r="91" spans="1:33" x14ac:dyDescent="0.25">
      <c r="A91" s="255" t="s">
        <v>99</v>
      </c>
      <c r="B91" s="255" t="s">
        <v>217</v>
      </c>
      <c r="C91" s="256">
        <v>1151968140.7378156</v>
      </c>
      <c r="D91" s="256">
        <v>73413901.439054295</v>
      </c>
      <c r="E91" s="256">
        <v>1163181.7193480239</v>
      </c>
      <c r="F91" s="256">
        <v>11823522.082854161</v>
      </c>
      <c r="G91" s="256">
        <v>4570752.167614162</v>
      </c>
      <c r="H91" s="256">
        <v>85828.853313612504</v>
      </c>
      <c r="I91" s="256">
        <v>478694694.15574449</v>
      </c>
      <c r="J91" s="256">
        <v>83421167.047860876</v>
      </c>
      <c r="K91" s="256">
        <v>29495367.145793878</v>
      </c>
      <c r="L91" s="256">
        <v>398621.80394291901</v>
      </c>
      <c r="M91" s="256">
        <v>9275227.3080331441</v>
      </c>
      <c r="N91" s="256">
        <v>128577.28518939344</v>
      </c>
      <c r="O91" s="256">
        <v>54660417.093701139</v>
      </c>
      <c r="P91" s="256">
        <v>650935.81251857791</v>
      </c>
      <c r="Q91" s="256">
        <v>8431821.0565522257</v>
      </c>
      <c r="R91" s="256">
        <v>842840.9313647385</v>
      </c>
      <c r="S91" s="256">
        <v>2081486.3592986483</v>
      </c>
      <c r="T91" s="256">
        <v>28221387.945514083</v>
      </c>
      <c r="U91" s="256">
        <v>42762640.766008541</v>
      </c>
      <c r="V91" s="256">
        <v>4452410.1802541008</v>
      </c>
      <c r="W91" s="256">
        <v>1235764.5254163651</v>
      </c>
      <c r="X91" s="256">
        <v>2071389.9402809974</v>
      </c>
      <c r="Y91" s="256">
        <v>3364588.763429428</v>
      </c>
      <c r="Z91" s="256">
        <v>43975261.725424781</v>
      </c>
      <c r="AA91" s="256">
        <v>7975008.5488364017</v>
      </c>
      <c r="AB91" s="256">
        <v>4505573.5938680917</v>
      </c>
      <c r="AC91" s="256">
        <v>1788799.7748416853</v>
      </c>
      <c r="AD91" s="256">
        <v>15486298.485925017</v>
      </c>
      <c r="AE91" s="256">
        <v>62497.750200515882</v>
      </c>
      <c r="AF91" s="256">
        <v>9177790.693742644</v>
      </c>
      <c r="AG91" s="256">
        <v>2076185895.6937428</v>
      </c>
    </row>
    <row r="92" spans="1:33" x14ac:dyDescent="0.25">
      <c r="A92" s="255" t="s">
        <v>99</v>
      </c>
      <c r="B92" s="255" t="s">
        <v>218</v>
      </c>
      <c r="C92" s="256">
        <v>995108786.32439709</v>
      </c>
      <c r="D92" s="256">
        <v>65069237.143110596</v>
      </c>
      <c r="E92" s="256">
        <v>1121771.5329760322</v>
      </c>
      <c r="F92" s="256">
        <v>10386623.202645727</v>
      </c>
      <c r="G92" s="256">
        <v>4057969.4383033756</v>
      </c>
      <c r="H92" s="256">
        <v>85801.358567142015</v>
      </c>
      <c r="I92" s="256">
        <v>429172976.85731506</v>
      </c>
      <c r="J92" s="256">
        <v>77324654.093390629</v>
      </c>
      <c r="K92" s="256">
        <v>27444246.427578777</v>
      </c>
      <c r="L92" s="256">
        <v>400228.83003773447</v>
      </c>
      <c r="M92" s="256">
        <v>8759400.5486416575</v>
      </c>
      <c r="N92" s="256">
        <v>116061.09498054885</v>
      </c>
      <c r="O92" s="256">
        <v>53263477.039564028</v>
      </c>
      <c r="P92" s="256">
        <v>647911.09810884739</v>
      </c>
      <c r="Q92" s="256">
        <v>7700619.1034625089</v>
      </c>
      <c r="R92" s="256">
        <v>722548.54577800876</v>
      </c>
      <c r="S92" s="256">
        <v>2080493.3611422135</v>
      </c>
      <c r="T92" s="256">
        <v>27698332.416644484</v>
      </c>
      <c r="U92" s="256">
        <v>39965286.975558341</v>
      </c>
      <c r="V92" s="256">
        <v>4325863.9310552627</v>
      </c>
      <c r="W92" s="256">
        <v>559632.71153851971</v>
      </c>
      <c r="X92" s="256">
        <v>2040296.0660652823</v>
      </c>
      <c r="Y92" s="256">
        <v>1027871.967936269</v>
      </c>
      <c r="Z92" s="256">
        <v>42556458.41484274</v>
      </c>
      <c r="AA92" s="256">
        <v>7437113.7191470666</v>
      </c>
      <c r="AB92" s="256">
        <v>4445001.4403622551</v>
      </c>
      <c r="AC92" s="256">
        <v>1759957.9078443053</v>
      </c>
      <c r="AD92" s="256">
        <v>15831607.63380277</v>
      </c>
      <c r="AE92" s="256">
        <v>62465.815202714482</v>
      </c>
      <c r="AF92" s="256">
        <v>9179847.1063526049</v>
      </c>
      <c r="AG92" s="256">
        <v>1840352542.1063528</v>
      </c>
    </row>
    <row r="93" spans="1:33" x14ac:dyDescent="0.25">
      <c r="A93" s="255" t="s">
        <v>99</v>
      </c>
      <c r="B93" s="255" t="s">
        <v>219</v>
      </c>
      <c r="C93" s="256">
        <v>630314127.17623389</v>
      </c>
      <c r="D93" s="256">
        <v>48818670.59665902</v>
      </c>
      <c r="E93" s="256">
        <v>858520.22779114952</v>
      </c>
      <c r="F93" s="256">
        <v>7131895.5265963739</v>
      </c>
      <c r="G93" s="256">
        <v>3228535.5947139338</v>
      </c>
      <c r="H93" s="256">
        <v>85773.878005506631</v>
      </c>
      <c r="I93" s="256">
        <v>356255901.12965351</v>
      </c>
      <c r="J93" s="256">
        <v>67968089.509665638</v>
      </c>
      <c r="K93" s="256">
        <v>22099194.666055739</v>
      </c>
      <c r="L93" s="256">
        <v>307346.94962328806</v>
      </c>
      <c r="M93" s="256">
        <v>7664399.4508142304</v>
      </c>
      <c r="N93" s="256">
        <v>70983.391270431821</v>
      </c>
      <c r="O93" s="256">
        <v>46202139.157355107</v>
      </c>
      <c r="P93" s="256">
        <v>850705.40494122868</v>
      </c>
      <c r="Q93" s="256">
        <v>6020157.5613791868</v>
      </c>
      <c r="R93" s="256">
        <v>1844088.8777667729</v>
      </c>
      <c r="S93" s="256">
        <v>2079500.9014748537</v>
      </c>
      <c r="T93" s="256">
        <v>24001215.522610374</v>
      </c>
      <c r="U93" s="256">
        <v>38387466.3850182</v>
      </c>
      <c r="V93" s="256">
        <v>3546567.1659429795</v>
      </c>
      <c r="W93" s="256">
        <v>442870.71530840802</v>
      </c>
      <c r="X93" s="256">
        <v>1669051.4714942372</v>
      </c>
      <c r="Y93" s="256">
        <v>2144289.0696916087</v>
      </c>
      <c r="Z93" s="256">
        <v>39052969.721367478</v>
      </c>
      <c r="AA93" s="256">
        <v>6935538.792304989</v>
      </c>
      <c r="AB93" s="256">
        <v>3649257.7895161007</v>
      </c>
      <c r="AC93" s="256">
        <v>1549418.6355334914</v>
      </c>
      <c r="AD93" s="256">
        <v>15073827.824733917</v>
      </c>
      <c r="AE93" s="256">
        <v>62433.906478184341</v>
      </c>
      <c r="AF93" s="256">
        <v>9181904.5308624841</v>
      </c>
      <c r="AG93" s="256">
        <v>1347496841.530863</v>
      </c>
    </row>
    <row r="94" spans="1:33" x14ac:dyDescent="0.25">
      <c r="A94" s="255" t="s">
        <v>99</v>
      </c>
      <c r="B94" s="255" t="s">
        <v>220</v>
      </c>
      <c r="C94" s="256">
        <v>526841303.70299524</v>
      </c>
      <c r="D94" s="256">
        <v>54751251.484319158</v>
      </c>
      <c r="E94" s="256">
        <v>934996.09968652704</v>
      </c>
      <c r="F94" s="256">
        <v>6680491.9455718677</v>
      </c>
      <c r="G94" s="256">
        <v>3793881.3558056275</v>
      </c>
      <c r="H94" s="256">
        <v>85746.411621602558</v>
      </c>
      <c r="I94" s="256">
        <v>351084109.26791316</v>
      </c>
      <c r="J94" s="256">
        <v>66046575.323044971</v>
      </c>
      <c r="K94" s="256">
        <v>23273278.866088476</v>
      </c>
      <c r="L94" s="256">
        <v>301735.91405890341</v>
      </c>
      <c r="M94" s="256">
        <v>6162449.2564494079</v>
      </c>
      <c r="N94" s="256">
        <v>61442.958122162898</v>
      </c>
      <c r="O94" s="256">
        <v>49170548.718101643</v>
      </c>
      <c r="P94" s="256">
        <v>1324455.8234914145</v>
      </c>
      <c r="Q94" s="256">
        <v>5935456.5094154896</v>
      </c>
      <c r="R94" s="256">
        <v>559178.38321459515</v>
      </c>
      <c r="S94" s="256">
        <v>2078508.9800998098</v>
      </c>
      <c r="T94" s="256">
        <v>25321541.436857816</v>
      </c>
      <c r="U94" s="256">
        <v>38390795.760187507</v>
      </c>
      <c r="V94" s="256">
        <v>3735355.3238839903</v>
      </c>
      <c r="W94" s="256">
        <v>230451.7740574491</v>
      </c>
      <c r="X94" s="256">
        <v>1542764.1017329125</v>
      </c>
      <c r="Y94" s="256">
        <v>1192599.8957075274</v>
      </c>
      <c r="Z94" s="256">
        <v>34420681.92152591</v>
      </c>
      <c r="AA94" s="256">
        <v>7920220.8670081235</v>
      </c>
      <c r="AB94" s="256">
        <v>3004228.3108672006</v>
      </c>
      <c r="AC94" s="256">
        <v>1359144.0233077535</v>
      </c>
      <c r="AD94" s="256">
        <v>17080296.560858794</v>
      </c>
      <c r="AE94" s="256">
        <v>62402.024005011743</v>
      </c>
      <c r="AF94" s="256">
        <v>9183962.9683763478</v>
      </c>
      <c r="AG94" s="256">
        <v>1242529855.9683766</v>
      </c>
    </row>
    <row r="95" spans="1:33" x14ac:dyDescent="0.25">
      <c r="A95" s="255" t="s">
        <v>99</v>
      </c>
      <c r="B95" s="255" t="s">
        <v>221</v>
      </c>
      <c r="C95" s="256">
        <v>607005107.49755752</v>
      </c>
      <c r="D95" s="256">
        <v>87052803.503558517</v>
      </c>
      <c r="E95" s="256">
        <v>1341108.2202294741</v>
      </c>
      <c r="F95" s="256">
        <v>8569987.5727598034</v>
      </c>
      <c r="G95" s="256">
        <v>6328817.6985932523</v>
      </c>
      <c r="H95" s="256">
        <v>85691.507301388614</v>
      </c>
      <c r="I95" s="256">
        <v>373967920.14186567</v>
      </c>
      <c r="J95" s="256">
        <v>70340047.513106868</v>
      </c>
      <c r="K95" s="256">
        <v>26042664.310362931</v>
      </c>
      <c r="L95" s="256">
        <v>293398.26671805722</v>
      </c>
      <c r="M95" s="256">
        <v>5044632.2078586966</v>
      </c>
      <c r="N95" s="256">
        <v>82769.098012059345</v>
      </c>
      <c r="O95" s="256">
        <v>56157852.962404191</v>
      </c>
      <c r="P95" s="256">
        <v>1457266.1654048611</v>
      </c>
      <c r="Q95" s="256">
        <v>5870636.6274187816</v>
      </c>
      <c r="R95" s="256">
        <v>324441.49125213618</v>
      </c>
      <c r="S95" s="256">
        <v>2076526.2155958551</v>
      </c>
      <c r="T95" s="256">
        <v>23695039.290174332</v>
      </c>
      <c r="U95" s="256">
        <v>38625290.246025003</v>
      </c>
      <c r="V95" s="256">
        <v>3506998.3297354286</v>
      </c>
      <c r="W95" s="256">
        <v>227042.2412591069</v>
      </c>
      <c r="X95" s="256">
        <v>1242754.2134945106</v>
      </c>
      <c r="Y95" s="256">
        <v>1177563.9284206771</v>
      </c>
      <c r="Z95" s="256">
        <v>42088367.485563748</v>
      </c>
      <c r="AA95" s="256">
        <v>9494674.8659455571</v>
      </c>
      <c r="AB95" s="256">
        <v>3387816.4189417288</v>
      </c>
      <c r="AC95" s="256">
        <v>2149849.3988755131</v>
      </c>
      <c r="AD95" s="256">
        <v>15224865.269978045</v>
      </c>
      <c r="AE95" s="256">
        <v>62338.311586360076</v>
      </c>
      <c r="AF95" s="256">
        <v>9188081.8905861378</v>
      </c>
      <c r="AG95" s="256">
        <v>1402112352.8905864</v>
      </c>
    </row>
    <row r="96" spans="1:33" x14ac:dyDescent="0.25">
      <c r="A96" s="255" t="s">
        <v>99</v>
      </c>
      <c r="B96" s="255" t="s">
        <v>222</v>
      </c>
      <c r="C96" s="256">
        <v>731683560.36250794</v>
      </c>
      <c r="D96" s="256">
        <v>121880683.15302965</v>
      </c>
      <c r="E96" s="256">
        <v>1755028.5423064586</v>
      </c>
      <c r="F96" s="256">
        <v>10752632.827317581</v>
      </c>
      <c r="G96" s="256">
        <v>8510359.0314705055</v>
      </c>
      <c r="H96" s="256">
        <v>85664.083367662097</v>
      </c>
      <c r="I96" s="256">
        <v>396224726.87281507</v>
      </c>
      <c r="J96" s="256">
        <v>67939889.138671309</v>
      </c>
      <c r="K96" s="256">
        <v>27069191.071401905</v>
      </c>
      <c r="L96" s="256">
        <v>314556.63326428976</v>
      </c>
      <c r="M96" s="256">
        <v>8206907.4797419244</v>
      </c>
      <c r="N96" s="256">
        <v>109820.15456027427</v>
      </c>
      <c r="O96" s="256">
        <v>54679713.724130906</v>
      </c>
      <c r="P96" s="256">
        <v>976351.24412490998</v>
      </c>
      <c r="Q96" s="256">
        <v>6525196.7107328586</v>
      </c>
      <c r="R96" s="256">
        <v>192875.06316223438</v>
      </c>
      <c r="S96" s="256">
        <v>2075535.9073942539</v>
      </c>
      <c r="T96" s="256">
        <v>25086956.099184044</v>
      </c>
      <c r="U96" s="256">
        <v>36387792.52319739</v>
      </c>
      <c r="V96" s="256">
        <v>3687063.720656394</v>
      </c>
      <c r="W96" s="256">
        <v>266293.86199428368</v>
      </c>
      <c r="X96" s="256">
        <v>1477741.7731920329</v>
      </c>
      <c r="Y96" s="256">
        <v>1177811.9817996293</v>
      </c>
      <c r="Z96" s="256">
        <v>37048662.889371634</v>
      </c>
      <c r="AA96" s="256">
        <v>16162411.403171593</v>
      </c>
      <c r="AB96" s="256">
        <v>3742031.4258125564</v>
      </c>
      <c r="AC96" s="256">
        <v>1810174.6999419222</v>
      </c>
      <c r="AD96" s="256">
        <v>15676880.113944193</v>
      </c>
      <c r="AE96" s="256">
        <v>62306.507734362211</v>
      </c>
      <c r="AF96" s="256">
        <v>9190143.3629704192</v>
      </c>
      <c r="AG96" s="256">
        <v>1590758962.3629699</v>
      </c>
    </row>
    <row r="97" spans="1:33" x14ac:dyDescent="0.25">
      <c r="A97" s="255" t="s">
        <v>99</v>
      </c>
      <c r="B97" s="255" t="s">
        <v>223</v>
      </c>
      <c r="C97" s="256">
        <v>685792441.24381661</v>
      </c>
      <c r="D97" s="256">
        <v>125791444.20017564</v>
      </c>
      <c r="E97" s="256">
        <v>1610660.3038419755</v>
      </c>
      <c r="F97" s="256">
        <v>10498411.671511332</v>
      </c>
      <c r="G97" s="256">
        <v>8797842.9071177877</v>
      </c>
      <c r="H97" s="256">
        <v>85636.67353656741</v>
      </c>
      <c r="I97" s="256">
        <v>393263612.0138182</v>
      </c>
      <c r="J97" s="256">
        <v>60030325.182475202</v>
      </c>
      <c r="K97" s="256">
        <v>24515864.837778978</v>
      </c>
      <c r="L97" s="256">
        <v>263945.68022738729</v>
      </c>
      <c r="M97" s="256">
        <v>7331896.840848377</v>
      </c>
      <c r="N97" s="256">
        <v>88898.550114542115</v>
      </c>
      <c r="O97" s="256">
        <v>49673510.403559625</v>
      </c>
      <c r="P97" s="256">
        <v>2260734.176340065</v>
      </c>
      <c r="Q97" s="256">
        <v>5991016.2677492695</v>
      </c>
      <c r="R97" s="256">
        <v>182852.91136182894</v>
      </c>
      <c r="S97" s="256">
        <v>2074546.1357264624</v>
      </c>
      <c r="T97" s="256">
        <v>26101657.659134809</v>
      </c>
      <c r="U97" s="256">
        <v>34168673.435345799</v>
      </c>
      <c r="V97" s="256">
        <v>3753796.6720811971</v>
      </c>
      <c r="W97" s="256">
        <v>576152.41391656245</v>
      </c>
      <c r="X97" s="256">
        <v>1644141.5802914547</v>
      </c>
      <c r="Y97" s="256">
        <v>1131289.3781200331</v>
      </c>
      <c r="Z97" s="256">
        <v>34831538.05513344</v>
      </c>
      <c r="AA97" s="256">
        <v>14306866.709768703</v>
      </c>
      <c r="AB97" s="256">
        <v>3674752.6891879681</v>
      </c>
      <c r="AC97" s="256">
        <v>1596479.8403227862</v>
      </c>
      <c r="AD97" s="256">
        <v>16216150.83668424</v>
      </c>
      <c r="AE97" s="256">
        <v>62274.730013002569</v>
      </c>
      <c r="AF97" s="256">
        <v>9192205.8446888626</v>
      </c>
      <c r="AG97" s="256">
        <v>1525509619.8446889</v>
      </c>
    </row>
    <row r="98" spans="1:33" x14ac:dyDescent="0.25">
      <c r="A98" s="255" t="s">
        <v>99</v>
      </c>
      <c r="B98" s="255" t="s">
        <v>224</v>
      </c>
      <c r="C98" s="256">
        <v>611264228.16919506</v>
      </c>
      <c r="D98" s="256">
        <v>110464432.47502163</v>
      </c>
      <c r="E98" s="256">
        <v>1610521.2663846042</v>
      </c>
      <c r="F98" s="256">
        <v>9375976.7702445406</v>
      </c>
      <c r="G98" s="256">
        <v>7571013.0413567945</v>
      </c>
      <c r="H98" s="256">
        <v>85609.277797289033</v>
      </c>
      <c r="I98" s="256">
        <v>380488970.780581</v>
      </c>
      <c r="J98" s="256">
        <v>53711169.289789103</v>
      </c>
      <c r="K98" s="256">
        <v>20273341.870048199</v>
      </c>
      <c r="L98" s="256">
        <v>223850.27373366471</v>
      </c>
      <c r="M98" s="256">
        <v>5755875.911897148</v>
      </c>
      <c r="N98" s="256">
        <v>68846.484708150267</v>
      </c>
      <c r="O98" s="256">
        <v>39405352.338520065</v>
      </c>
      <c r="P98" s="256">
        <v>996333.09300517163</v>
      </c>
      <c r="Q98" s="256">
        <v>4457599.9400591068</v>
      </c>
      <c r="R98" s="256">
        <v>118653.11737652877</v>
      </c>
      <c r="S98" s="256">
        <v>2073556.9002818356</v>
      </c>
      <c r="T98" s="256">
        <v>28865793.602359995</v>
      </c>
      <c r="U98" s="256">
        <v>37756366.726814546</v>
      </c>
      <c r="V98" s="256">
        <v>3475171.4592016768</v>
      </c>
      <c r="W98" s="256">
        <v>502037.39607397193</v>
      </c>
      <c r="X98" s="256">
        <v>1699129.7408683624</v>
      </c>
      <c r="Y98" s="256">
        <v>1172490.4168159142</v>
      </c>
      <c r="Z98" s="256">
        <v>35727997.965571381</v>
      </c>
      <c r="AA98" s="256">
        <v>13694934.808484038</v>
      </c>
      <c r="AB98" s="256">
        <v>3846246.5010019187</v>
      </c>
      <c r="AC98" s="256">
        <v>1494864.6807089853</v>
      </c>
      <c r="AD98" s="256">
        <v>8193606.7237028992</v>
      </c>
      <c r="AE98" s="256">
        <v>62242.978396340382</v>
      </c>
      <c r="AF98" s="256">
        <v>9194269.3363673519</v>
      </c>
      <c r="AG98" s="256">
        <v>1393630483.3363676</v>
      </c>
    </row>
    <row r="99" spans="1:33" x14ac:dyDescent="0.25">
      <c r="A99" s="255" t="s">
        <v>99</v>
      </c>
      <c r="B99" s="255" t="s">
        <v>225</v>
      </c>
      <c r="C99" s="256">
        <v>521438735.11480534</v>
      </c>
      <c r="D99" s="256">
        <v>81959999.337067261</v>
      </c>
      <c r="E99" s="256">
        <v>1175899.6446038331</v>
      </c>
      <c r="F99" s="256">
        <v>7538002.2761840289</v>
      </c>
      <c r="G99" s="256">
        <v>5820974.7311994461</v>
      </c>
      <c r="H99" s="256">
        <v>85581.896140241719</v>
      </c>
      <c r="I99" s="256">
        <v>343496443.44465733</v>
      </c>
      <c r="J99" s="256">
        <v>58794516.221072406</v>
      </c>
      <c r="K99" s="256">
        <v>21616741.441442825</v>
      </c>
      <c r="L99" s="256">
        <v>282232.80988009379</v>
      </c>
      <c r="M99" s="256">
        <v>7118308.579122535</v>
      </c>
      <c r="N99" s="256">
        <v>72870.835000548148</v>
      </c>
      <c r="O99" s="256">
        <v>40423068.030831113</v>
      </c>
      <c r="P99" s="256">
        <v>717662.17749629542</v>
      </c>
      <c r="Q99" s="256">
        <v>5280693.9874823671</v>
      </c>
      <c r="R99" s="256">
        <v>435440.27223637619</v>
      </c>
      <c r="S99" s="256">
        <v>2072568.2007781926</v>
      </c>
      <c r="T99" s="256">
        <v>26975196.045242224</v>
      </c>
      <c r="U99" s="256">
        <v>35442341.715599567</v>
      </c>
      <c r="V99" s="256">
        <v>3597667.1074740998</v>
      </c>
      <c r="W99" s="256">
        <v>491474.71095324453</v>
      </c>
      <c r="X99" s="256">
        <v>750978.24511291122</v>
      </c>
      <c r="Y99" s="256">
        <v>711667.11756768683</v>
      </c>
      <c r="Z99" s="256">
        <v>34294455.311931409</v>
      </c>
      <c r="AA99" s="256">
        <v>7184709.8481012043</v>
      </c>
      <c r="AB99" s="256">
        <v>3144910.1515639415</v>
      </c>
      <c r="AC99" s="256">
        <v>1584214.1683690725</v>
      </c>
      <c r="AD99" s="256">
        <v>16207518.325225249</v>
      </c>
      <c r="AE99" s="256">
        <v>62211.252859415516</v>
      </c>
      <c r="AF99" s="256">
        <v>9196333.8388206195</v>
      </c>
      <c r="AG99" s="256">
        <v>1237973416.8388209</v>
      </c>
    </row>
    <row r="100" spans="1:33" x14ac:dyDescent="0.25">
      <c r="A100" s="255" t="s">
        <v>99</v>
      </c>
      <c r="B100" s="255" t="s">
        <v>226</v>
      </c>
      <c r="C100" s="256">
        <v>480337047.44021451</v>
      </c>
      <c r="D100" s="256">
        <v>60165885.936481066</v>
      </c>
      <c r="E100" s="256">
        <v>867941.51657490816</v>
      </c>
      <c r="F100" s="256">
        <v>6524292.2923166687</v>
      </c>
      <c r="G100" s="256">
        <v>4130429.2858563773</v>
      </c>
      <c r="H100" s="256">
        <v>85554.528556510835</v>
      </c>
      <c r="I100" s="256">
        <v>321465095.78169775</v>
      </c>
      <c r="J100" s="256">
        <v>54758448.798677757</v>
      </c>
      <c r="K100" s="256">
        <v>19298304.192754045</v>
      </c>
      <c r="L100" s="256">
        <v>265580.57671985956</v>
      </c>
      <c r="M100" s="256">
        <v>6329801.8902440304</v>
      </c>
      <c r="N100" s="256">
        <v>61054.944980052147</v>
      </c>
      <c r="O100" s="256">
        <v>36195468.351142138</v>
      </c>
      <c r="P100" s="256">
        <v>627719.38310882705</v>
      </c>
      <c r="Q100" s="256">
        <v>4552052.9665719615</v>
      </c>
      <c r="R100" s="256">
        <v>2268369.0771513213</v>
      </c>
      <c r="S100" s="256">
        <v>2071580.0369521868</v>
      </c>
      <c r="T100" s="256">
        <v>25921731.17632905</v>
      </c>
      <c r="U100" s="256">
        <v>35192603.25340645</v>
      </c>
      <c r="V100" s="256">
        <v>3559240.9731744681</v>
      </c>
      <c r="W100" s="256">
        <v>567100.99456406047</v>
      </c>
      <c r="X100" s="256">
        <v>1778369.2353997407</v>
      </c>
      <c r="Y100" s="256">
        <v>819969.74471934617</v>
      </c>
      <c r="Z100" s="256">
        <v>35112708.382366985</v>
      </c>
      <c r="AA100" s="256">
        <v>4688541.9429813148</v>
      </c>
      <c r="AB100" s="256">
        <v>3237540.7218655599</v>
      </c>
      <c r="AC100" s="256">
        <v>1488154.6339736711</v>
      </c>
      <c r="AD100" s="256">
        <v>15249290.387841443</v>
      </c>
      <c r="AE100" s="256">
        <v>62179.553377917793</v>
      </c>
      <c r="AF100" s="256">
        <v>9198399.352942558</v>
      </c>
      <c r="AG100" s="256">
        <v>1136880457.3529422</v>
      </c>
    </row>
    <row r="101" spans="1:33" x14ac:dyDescent="0.25">
      <c r="A101" s="255" t="s">
        <v>99</v>
      </c>
      <c r="B101" s="255" t="s">
        <v>227</v>
      </c>
      <c r="C101" s="256">
        <v>696031944.58566475</v>
      </c>
      <c r="D101" s="256">
        <v>51708298.593866393</v>
      </c>
      <c r="E101" s="256">
        <v>938666.33042574651</v>
      </c>
      <c r="F101" s="256">
        <v>7928737.6775131039</v>
      </c>
      <c r="G101" s="256">
        <v>3628403.6374928593</v>
      </c>
      <c r="H101" s="256">
        <v>85527.175037200301</v>
      </c>
      <c r="I101" s="256">
        <v>357082399.01155716</v>
      </c>
      <c r="J101" s="256">
        <v>63124649.848127879</v>
      </c>
      <c r="K101" s="256">
        <v>22222336.026542123</v>
      </c>
      <c r="L101" s="256">
        <v>310160.64709804812</v>
      </c>
      <c r="M101" s="256">
        <v>6663885.8332080022</v>
      </c>
      <c r="N101" s="256">
        <v>76325.561392861884</v>
      </c>
      <c r="O101" s="256">
        <v>41184497.774823941</v>
      </c>
      <c r="P101" s="256">
        <v>1164064.8242956176</v>
      </c>
      <c r="Q101" s="256">
        <v>5487243.6542984582</v>
      </c>
      <c r="R101" s="256">
        <v>582505.41010952136</v>
      </c>
      <c r="S101" s="256">
        <v>2070592.408546261</v>
      </c>
      <c r="T101" s="256">
        <v>24792626.045408256</v>
      </c>
      <c r="U101" s="256">
        <v>36247767.176581979</v>
      </c>
      <c r="V101" s="256">
        <v>4032344.0486783371</v>
      </c>
      <c r="W101" s="256">
        <v>265082.14204492449</v>
      </c>
      <c r="X101" s="256">
        <v>1648753.0346532862</v>
      </c>
      <c r="Y101" s="256">
        <v>923936.57688687579</v>
      </c>
      <c r="Z101" s="256">
        <v>38452753.915678144</v>
      </c>
      <c r="AA101" s="256">
        <v>9872855.7978956867</v>
      </c>
      <c r="AB101" s="256">
        <v>3063160.4503056211</v>
      </c>
      <c r="AC101" s="256">
        <v>1516228.2747938421</v>
      </c>
      <c r="AD101" s="256">
        <v>14022127.657145286</v>
      </c>
      <c r="AE101" s="256">
        <v>62147.879927753122</v>
      </c>
      <c r="AF101" s="256">
        <v>9200465.8795928434</v>
      </c>
      <c r="AG101" s="256">
        <v>1404390487.8795929</v>
      </c>
    </row>
    <row r="102" spans="1:33" x14ac:dyDescent="0.25">
      <c r="A102" s="255" t="s">
        <v>99</v>
      </c>
      <c r="B102" s="255" t="s">
        <v>228</v>
      </c>
      <c r="C102" s="256">
        <v>1026603512.6314088</v>
      </c>
      <c r="D102" s="256">
        <v>65835442.247544244</v>
      </c>
      <c r="E102" s="256">
        <v>1170927.181963701</v>
      </c>
      <c r="F102" s="256">
        <v>10807961.701844512</v>
      </c>
      <c r="G102" s="256">
        <v>4212543.4016660601</v>
      </c>
      <c r="H102" s="256">
        <v>85499.835572806638</v>
      </c>
      <c r="I102" s="256">
        <v>413088071.34576517</v>
      </c>
      <c r="J102" s="256">
        <v>75688286.430430248</v>
      </c>
      <c r="K102" s="256">
        <v>25273842.84646723</v>
      </c>
      <c r="L102" s="256">
        <v>400664.93302394741</v>
      </c>
      <c r="M102" s="256">
        <v>8507929.4991060253</v>
      </c>
      <c r="N102" s="256">
        <v>94203.730725895948</v>
      </c>
      <c r="O102" s="256">
        <v>52902372.532754332</v>
      </c>
      <c r="P102" s="256">
        <v>823941.16113444977</v>
      </c>
      <c r="Q102" s="256">
        <v>6760447.0787761668</v>
      </c>
      <c r="R102" s="256">
        <v>532845.12652175466</v>
      </c>
      <c r="S102" s="256">
        <v>2069605.3152947929</v>
      </c>
      <c r="T102" s="256">
        <v>27075261.641104717</v>
      </c>
      <c r="U102" s="256">
        <v>42443086.569402628</v>
      </c>
      <c r="V102" s="256">
        <v>3283169.2035406916</v>
      </c>
      <c r="W102" s="256">
        <v>-450163.5678204163</v>
      </c>
      <c r="X102" s="256">
        <v>1983355.0243663169</v>
      </c>
      <c r="Y102" s="256">
        <v>1157697.478070162</v>
      </c>
      <c r="Z102" s="256">
        <v>40720510.057124324</v>
      </c>
      <c r="AA102" s="256">
        <v>7759806.4934339803</v>
      </c>
      <c r="AB102" s="256">
        <v>3040246.463185234</v>
      </c>
      <c r="AC102" s="256">
        <v>1741885.9888806932</v>
      </c>
      <c r="AD102" s="256">
        <v>13360921.416227045</v>
      </c>
      <c r="AE102" s="256">
        <v>62116.23248459422</v>
      </c>
      <c r="AF102" s="256">
        <v>9202533.4194997903</v>
      </c>
      <c r="AG102" s="256">
        <v>1846238523.4195004</v>
      </c>
    </row>
    <row r="103" spans="1:33" x14ac:dyDescent="0.25">
      <c r="A103" s="255" t="s">
        <v>99</v>
      </c>
      <c r="B103" s="255" t="s">
        <v>229</v>
      </c>
      <c r="C103" s="256">
        <v>1157876975.0270526</v>
      </c>
      <c r="D103" s="256">
        <v>73782588.696803749</v>
      </c>
      <c r="E103" s="256">
        <v>1169781.8487222891</v>
      </c>
      <c r="F103" s="256">
        <v>11885123.864334386</v>
      </c>
      <c r="G103" s="256">
        <v>4594869.0529341232</v>
      </c>
      <c r="H103" s="256">
        <v>85472.510152775925</v>
      </c>
      <c r="I103" s="256">
        <v>460004718.65224034</v>
      </c>
      <c r="J103" s="256">
        <v>80155173.264448732</v>
      </c>
      <c r="K103" s="256">
        <v>28342527.608987238</v>
      </c>
      <c r="L103" s="256">
        <v>383010.66183815378</v>
      </c>
      <c r="M103" s="256">
        <v>8911983.5262643993</v>
      </c>
      <c r="N103" s="256">
        <v>123660.11272169951</v>
      </c>
      <c r="O103" s="256">
        <v>52519240.946839839</v>
      </c>
      <c r="P103" s="256">
        <v>629527.82729914156</v>
      </c>
      <c r="Q103" s="256">
        <v>8105534.4983840324</v>
      </c>
      <c r="R103" s="256">
        <v>814038.14406304294</v>
      </c>
      <c r="S103" s="256">
        <v>2068618.7569132505</v>
      </c>
      <c r="T103" s="256">
        <v>27559072.835729174</v>
      </c>
      <c r="U103" s="256">
        <v>41598792.29985369</v>
      </c>
      <c r="V103" s="256">
        <v>4320196.6048340509</v>
      </c>
      <c r="W103" s="256">
        <v>1201259.8203000061</v>
      </c>
      <c r="X103" s="256">
        <v>2012340.1877600821</v>
      </c>
      <c r="Y103" s="256">
        <v>3270993.6939236466</v>
      </c>
      <c r="Z103" s="256">
        <v>42684150.162908919</v>
      </c>
      <c r="AA103" s="256">
        <v>7740147.0412057359</v>
      </c>
      <c r="AB103" s="256">
        <v>4370400.1363252839</v>
      </c>
      <c r="AC103" s="256">
        <v>1737151.4542258217</v>
      </c>
      <c r="AD103" s="256">
        <v>15045504.151910041</v>
      </c>
      <c r="AE103" s="256">
        <v>62084.611023532445</v>
      </c>
      <c r="AF103" s="256">
        <v>9204601.9732002094</v>
      </c>
      <c r="AG103" s="256">
        <v>2052259539.9732001</v>
      </c>
    </row>
    <row r="104" spans="1:33" x14ac:dyDescent="0.25">
      <c r="A104" s="255" t="s">
        <v>99</v>
      </c>
      <c r="B104" s="255" t="s">
        <v>230</v>
      </c>
      <c r="C104" s="256">
        <v>999748086.28359807</v>
      </c>
      <c r="D104" s="256">
        <v>65376727.577231288</v>
      </c>
      <c r="E104" s="256">
        <v>1127217.8728831499</v>
      </c>
      <c r="F104" s="256">
        <v>10436124.942881588</v>
      </c>
      <c r="G104" s="256">
        <v>4077566.1246404042</v>
      </c>
      <c r="H104" s="256">
        <v>85445.198765398774</v>
      </c>
      <c r="I104" s="256">
        <v>411466250.02383423</v>
      </c>
      <c r="J104" s="256">
        <v>74090044.373563826</v>
      </c>
      <c r="K104" s="256">
        <v>26307008.189432442</v>
      </c>
      <c r="L104" s="256">
        <v>383561.89258580166</v>
      </c>
      <c r="M104" s="256">
        <v>8394628.2731239945</v>
      </c>
      <c r="N104" s="256">
        <v>111253.94174774563</v>
      </c>
      <c r="O104" s="256">
        <v>51040826.003610738</v>
      </c>
      <c r="P104" s="256">
        <v>625477.9372425141</v>
      </c>
      <c r="Q104" s="256">
        <v>7381067.6721310187</v>
      </c>
      <c r="R104" s="256">
        <v>697122.95963337342</v>
      </c>
      <c r="S104" s="256">
        <v>2067632.7330942485</v>
      </c>
      <c r="T104" s="256">
        <v>26965634.031538077</v>
      </c>
      <c r="U104" s="256">
        <v>38767202.72122822</v>
      </c>
      <c r="V104" s="256">
        <v>4185585.247155536</v>
      </c>
      <c r="W104" s="256">
        <v>542203.20552492968</v>
      </c>
      <c r="X104" s="256">
        <v>1975955.5520565952</v>
      </c>
      <c r="Y104" s="256">
        <v>995242.80512632441</v>
      </c>
      <c r="Z104" s="256">
        <v>41194447.199103072</v>
      </c>
      <c r="AA104" s="256">
        <v>7197089.088493187</v>
      </c>
      <c r="AB104" s="256">
        <v>4302264.7316076513</v>
      </c>
      <c r="AC104" s="256">
        <v>1703192.4011222646</v>
      </c>
      <c r="AD104" s="256">
        <v>15321936.001525212</v>
      </c>
      <c r="AE104" s="256">
        <v>62053.015518945664</v>
      </c>
      <c r="AF104" s="256">
        <v>9206671.5410327855</v>
      </c>
      <c r="AG104" s="256">
        <v>1815835519.5410326</v>
      </c>
    </row>
    <row r="105" spans="1:33" x14ac:dyDescent="0.25">
      <c r="A105" s="255" t="s">
        <v>99</v>
      </c>
      <c r="B105" s="255" t="s">
        <v>231</v>
      </c>
      <c r="C105" s="256">
        <v>631781177.07045269</v>
      </c>
      <c r="D105" s="256">
        <v>48948314.280752145</v>
      </c>
      <c r="E105" s="256">
        <v>860732.1008086839</v>
      </c>
      <c r="F105" s="256">
        <v>7150764.3296929915</v>
      </c>
      <c r="G105" s="256">
        <v>3238422.3168955022</v>
      </c>
      <c r="H105" s="256">
        <v>85417.901398085174</v>
      </c>
      <c r="I105" s="256">
        <v>339391846.36289287</v>
      </c>
      <c r="J105" s="256">
        <v>64723161.928848885</v>
      </c>
      <c r="K105" s="256">
        <v>21061183.405547712</v>
      </c>
      <c r="L105" s="256">
        <v>292794.06872128899</v>
      </c>
      <c r="M105" s="256">
        <v>7301490.0660627</v>
      </c>
      <c r="N105" s="256">
        <v>67577.806886145467</v>
      </c>
      <c r="O105" s="256">
        <v>43983790.624232836</v>
      </c>
      <c r="P105" s="256">
        <v>810992.58223479253</v>
      </c>
      <c r="Q105" s="256">
        <v>5737576.4783583777</v>
      </c>
      <c r="R105" s="256">
        <v>1761067.4327023765</v>
      </c>
      <c r="S105" s="256">
        <v>2066647.2435119255</v>
      </c>
      <c r="T105" s="256">
        <v>23380402.484626941</v>
      </c>
      <c r="U105" s="256">
        <v>37179764.072269604</v>
      </c>
      <c r="V105" s="256">
        <v>3426468.6298043011</v>
      </c>
      <c r="W105" s="256">
        <v>429832.894809513</v>
      </c>
      <c r="X105" s="256">
        <v>1613984.7170130846</v>
      </c>
      <c r="Y105" s="256">
        <v>2076232.6161516861</v>
      </c>
      <c r="Z105" s="256">
        <v>37729069.478803635</v>
      </c>
      <c r="AA105" s="256">
        <v>6703434.613508434</v>
      </c>
      <c r="AB105" s="256">
        <v>3521353.7154309568</v>
      </c>
      <c r="AC105" s="256">
        <v>1497552.0049293365</v>
      </c>
      <c r="AD105" s="256">
        <v>14568533.326707864</v>
      </c>
      <c r="AE105" s="256">
        <v>62021.445944620966</v>
      </c>
      <c r="AF105" s="256">
        <v>9208742.1231867354</v>
      </c>
      <c r="AG105" s="256">
        <v>1320660348.1231866</v>
      </c>
    </row>
    <row r="106" spans="1:33" x14ac:dyDescent="0.25">
      <c r="A106" s="255" t="s">
        <v>99</v>
      </c>
      <c r="B106" s="255" t="s">
        <v>232</v>
      </c>
      <c r="C106" s="256">
        <v>528652987.83356768</v>
      </c>
      <c r="D106" s="256">
        <v>54946104.737339303</v>
      </c>
      <c r="E106" s="256">
        <v>938577.33421210875</v>
      </c>
      <c r="F106" s="256">
        <v>6705475.7941075433</v>
      </c>
      <c r="G106" s="256">
        <v>3809953.6827355847</v>
      </c>
      <c r="H106" s="256">
        <v>85390.618037789565</v>
      </c>
      <c r="I106" s="256">
        <v>335755680.2578935</v>
      </c>
      <c r="J106" s="256">
        <v>63092883.277420953</v>
      </c>
      <c r="K106" s="256">
        <v>22252939.93236151</v>
      </c>
      <c r="L106" s="256">
        <v>288357.42265881906</v>
      </c>
      <c r="M106" s="256">
        <v>5889216.0397870708</v>
      </c>
      <c r="N106" s="256">
        <v>58717.197445573693</v>
      </c>
      <c r="O106" s="256">
        <v>46974096.692610689</v>
      </c>
      <c r="P106" s="256">
        <v>1269137.5789007284</v>
      </c>
      <c r="Q106" s="256">
        <v>5678748.7106400263</v>
      </c>
      <c r="R106" s="256">
        <v>532600.60245140456</v>
      </c>
      <c r="S106" s="256">
        <v>2065662.2878297311</v>
      </c>
      <c r="T106" s="256">
        <v>24604112.609564051</v>
      </c>
      <c r="U106" s="256">
        <v>37137439.908203624</v>
      </c>
      <c r="V106" s="256">
        <v>3598952.7023631106</v>
      </c>
      <c r="W106" s="256">
        <v>224852.94036587136</v>
      </c>
      <c r="X106" s="256">
        <v>1487571.567158032</v>
      </c>
      <c r="Y106" s="256">
        <v>1151014.9874731465</v>
      </c>
      <c r="Z106" s="256">
        <v>33220781.73016829</v>
      </c>
      <c r="AA106" s="256">
        <v>7635703.6909966338</v>
      </c>
      <c r="AB106" s="256">
        <v>2899069.016757865</v>
      </c>
      <c r="AC106" s="256">
        <v>1310595.500144334</v>
      </c>
      <c r="AD106" s="256">
        <v>16481158.444531053</v>
      </c>
      <c r="AE106" s="256">
        <v>61989.902273989777</v>
      </c>
      <c r="AF106" s="256">
        <v>9210813.7197747454</v>
      </c>
      <c r="AG106" s="256">
        <v>1218020586.7197745</v>
      </c>
    </row>
    <row r="107" spans="1:33" x14ac:dyDescent="0.25">
      <c r="A107" s="255" t="s">
        <v>99</v>
      </c>
      <c r="B107" s="255" t="s">
        <v>233</v>
      </c>
      <c r="C107" s="256">
        <v>609345819.73023379</v>
      </c>
      <c r="D107" s="256">
        <v>87381867.161865652</v>
      </c>
      <c r="E107" s="256">
        <v>1346440.7506879936</v>
      </c>
      <c r="F107" s="256">
        <v>8603542.3984837644</v>
      </c>
      <c r="G107" s="256">
        <v>6352413.8794200318</v>
      </c>
      <c r="H107" s="256">
        <v>85336.079308663291</v>
      </c>
      <c r="I107" s="256">
        <v>359162575.23216242</v>
      </c>
      <c r="J107" s="256">
        <v>67472443.804380596</v>
      </c>
      <c r="K107" s="256">
        <v>24992055.138174273</v>
      </c>
      <c r="L107" s="256">
        <v>281433.14475125371</v>
      </c>
      <c r="M107" s="256">
        <v>4838906.2493522773</v>
      </c>
      <c r="N107" s="256">
        <v>79287.237406367378</v>
      </c>
      <c r="O107" s="256">
        <v>53859080.533607394</v>
      </c>
      <c r="P107" s="256">
        <v>1404613.848541681</v>
      </c>
      <c r="Q107" s="256">
        <v>5637620.6872926103</v>
      </c>
      <c r="R107" s="256">
        <v>311599.68060290237</v>
      </c>
      <c r="S107" s="256">
        <v>2063693.4437281615</v>
      </c>
      <c r="T107" s="256">
        <v>23104137.962468192</v>
      </c>
      <c r="U107" s="256">
        <v>37423161.529099651</v>
      </c>
      <c r="V107" s="256">
        <v>3392590.8826051722</v>
      </c>
      <c r="W107" s="256">
        <v>222114.03906976694</v>
      </c>
      <c r="X107" s="256">
        <v>1204890.6639652438</v>
      </c>
      <c r="Y107" s="256">
        <v>1139338.2324186228</v>
      </c>
      <c r="Z107" s="256">
        <v>40669286.371554881</v>
      </c>
      <c r="AA107" s="256">
        <v>9171598.5050475113</v>
      </c>
      <c r="AB107" s="256">
        <v>3274782.5936155678</v>
      </c>
      <c r="AC107" s="256">
        <v>2081171.8830818154</v>
      </c>
      <c r="AD107" s="256">
        <v>14715076.470381884</v>
      </c>
      <c r="AE107" s="256">
        <v>61926.866691698662</v>
      </c>
      <c r="AF107" s="256">
        <v>9214958.9422576055</v>
      </c>
      <c r="AG107" s="256">
        <v>1378893763.9422572</v>
      </c>
    </row>
    <row r="108" spans="1:33" x14ac:dyDescent="0.25">
      <c r="A108" s="255" t="s">
        <v>99</v>
      </c>
      <c r="B108" s="255" t="s">
        <v>234</v>
      </c>
      <c r="C108" s="256">
        <v>734520202.86222601</v>
      </c>
      <c r="D108" s="256">
        <v>122373215.65339337</v>
      </c>
      <c r="E108" s="256">
        <v>1761990.4443063831</v>
      </c>
      <c r="F108" s="256">
        <v>10796386.877217853</v>
      </c>
      <c r="G108" s="256">
        <v>8546409.3249601219</v>
      </c>
      <c r="H108" s="256">
        <v>85308.837896149547</v>
      </c>
      <c r="I108" s="256">
        <v>381357771.55627477</v>
      </c>
      <c r="J108" s="256">
        <v>65375104.068870187</v>
      </c>
      <c r="K108" s="256">
        <v>26048720.52747966</v>
      </c>
      <c r="L108" s="256">
        <v>302657.19310974388</v>
      </c>
      <c r="M108" s="256">
        <v>7896446.3605607804</v>
      </c>
      <c r="N108" s="256">
        <v>105499.87615966694</v>
      </c>
      <c r="O108" s="256">
        <v>52597875.768511027</v>
      </c>
      <c r="P108" s="256">
        <v>938246.52976122161</v>
      </c>
      <c r="Q108" s="256">
        <v>6285026.7943195067</v>
      </c>
      <c r="R108" s="256">
        <v>185490.23707019884</v>
      </c>
      <c r="S108" s="256">
        <v>2062710.0878832273</v>
      </c>
      <c r="T108" s="256">
        <v>24398623.279046118</v>
      </c>
      <c r="U108" s="256">
        <v>35227738.514982373</v>
      </c>
      <c r="V108" s="256">
        <v>3557732.8101380141</v>
      </c>
      <c r="W108" s="256">
        <v>260261.05228306071</v>
      </c>
      <c r="X108" s="256">
        <v>1425937.9497838845</v>
      </c>
      <c r="Y108" s="256">
        <v>1137311.926397528</v>
      </c>
      <c r="Z108" s="256">
        <v>35781715.418787293</v>
      </c>
      <c r="AA108" s="256">
        <v>15644358.970785536</v>
      </c>
      <c r="AB108" s="256">
        <v>3609809.5012408942</v>
      </c>
      <c r="AC108" s="256">
        <v>1747221.3564656195</v>
      </c>
      <c r="AD108" s="256">
        <v>15121291.819496468</v>
      </c>
      <c r="AE108" s="256">
        <v>61895.400593234626</v>
      </c>
      <c r="AF108" s="256">
        <v>9217033.5813709423</v>
      </c>
      <c r="AG108" s="256">
        <v>1568429994.5813708</v>
      </c>
    </row>
    <row r="109" spans="1:33" x14ac:dyDescent="0.25">
      <c r="A109" s="255" t="s">
        <v>99</v>
      </c>
      <c r="B109" s="255" t="s">
        <v>235</v>
      </c>
      <c r="C109" s="256">
        <v>690167936.2730484</v>
      </c>
      <c r="D109" s="256">
        <v>126560643.76579006</v>
      </c>
      <c r="E109" s="256">
        <v>1622637.3568843496</v>
      </c>
      <c r="F109" s="256">
        <v>10564045.172742594</v>
      </c>
      <c r="G109" s="256">
        <v>8853602.8210932128</v>
      </c>
      <c r="H109" s="256">
        <v>85281.610441184166</v>
      </c>
      <c r="I109" s="256">
        <v>380028956.7450825</v>
      </c>
      <c r="J109" s="256">
        <v>58063064.84627521</v>
      </c>
      <c r="K109" s="256">
        <v>23705583.274175894</v>
      </c>
      <c r="L109" s="256">
        <v>255307.59714532705</v>
      </c>
      <c r="M109" s="256">
        <v>7091947.7194769578</v>
      </c>
      <c r="N109" s="256">
        <v>85912.422773471393</v>
      </c>
      <c r="O109" s="256">
        <v>48028478.033347026</v>
      </c>
      <c r="P109" s="256">
        <v>2173927.0141956359</v>
      </c>
      <c r="Q109" s="256">
        <v>5800332.1623767931</v>
      </c>
      <c r="R109" s="256">
        <v>176870.92053804506</v>
      </c>
      <c r="S109" s="256">
        <v>2061727.2646132403</v>
      </c>
      <c r="T109" s="256">
        <v>25327407.242295101</v>
      </c>
      <c r="U109" s="256">
        <v>33021926.647336718</v>
      </c>
      <c r="V109" s="256">
        <v>3617389.4883558522</v>
      </c>
      <c r="W109" s="256">
        <v>555288.01701827196</v>
      </c>
      <c r="X109" s="256">
        <v>1581758.7653605556</v>
      </c>
      <c r="Y109" s="256">
        <v>1091235.1152393089</v>
      </c>
      <c r="Z109" s="256">
        <v>33568083.949868865</v>
      </c>
      <c r="AA109" s="256">
        <v>13813403.854406161</v>
      </c>
      <c r="AB109" s="256">
        <v>3542693.2209316678</v>
      </c>
      <c r="AC109" s="256">
        <v>1538853.3461711106</v>
      </c>
      <c r="AD109" s="256">
        <v>15641859.392723475</v>
      </c>
      <c r="AE109" s="256">
        <v>61863.960292899676</v>
      </c>
      <c r="AF109" s="256">
        <v>9219109.2359948587</v>
      </c>
      <c r="AG109" s="256">
        <v>1507907127.2359951</v>
      </c>
    </row>
    <row r="110" spans="1:33" x14ac:dyDescent="0.25">
      <c r="A110" s="255" t="s">
        <v>99</v>
      </c>
      <c r="B110" s="255" t="s">
        <v>236</v>
      </c>
      <c r="C110" s="256">
        <v>617988296.45614135</v>
      </c>
      <c r="D110" s="256">
        <v>111692868.12903193</v>
      </c>
      <c r="E110" s="256">
        <v>1626680.2430619467</v>
      </c>
      <c r="F110" s="256">
        <v>9478410.6594751589</v>
      </c>
      <c r="G110" s="256">
        <v>7657113.1153568774</v>
      </c>
      <c r="H110" s="256">
        <v>85254.396932664386</v>
      </c>
      <c r="I110" s="256">
        <v>365582654.30908954</v>
      </c>
      <c r="J110" s="256">
        <v>51748403.132648297</v>
      </c>
      <c r="K110" s="256">
        <v>19526705.548894189</v>
      </c>
      <c r="L110" s="256">
        <v>215706.78105427796</v>
      </c>
      <c r="M110" s="256">
        <v>5546481.7817485211</v>
      </c>
      <c r="N110" s="256">
        <v>66421.842627359641</v>
      </c>
      <c r="O110" s="256">
        <v>37966540.73956804</v>
      </c>
      <c r="P110" s="256">
        <v>956851.56084545178</v>
      </c>
      <c r="Q110" s="256">
        <v>4298442.9780689748</v>
      </c>
      <c r="R110" s="256">
        <v>114360.35183986701</v>
      </c>
      <c r="S110" s="256">
        <v>2060744.9736154166</v>
      </c>
      <c r="T110" s="256">
        <v>28009426.380161706</v>
      </c>
      <c r="U110" s="256">
        <v>36574746.201681919</v>
      </c>
      <c r="V110" s="256">
        <v>3355886.7401345288</v>
      </c>
      <c r="W110" s="256">
        <v>485003.82432883297</v>
      </c>
      <c r="X110" s="256">
        <v>1635578.2103637368</v>
      </c>
      <c r="Y110" s="256">
        <v>1133435.5600769394</v>
      </c>
      <c r="Z110" s="256">
        <v>34516715.498951375</v>
      </c>
      <c r="AA110" s="256">
        <v>13253995.594012806</v>
      </c>
      <c r="AB110" s="256">
        <v>3715178.6423479621</v>
      </c>
      <c r="AC110" s="256">
        <v>1444566.0093843548</v>
      </c>
      <c r="AD110" s="256">
        <v>7957724.7927904967</v>
      </c>
      <c r="AE110" s="256">
        <v>61832.545765330702</v>
      </c>
      <c r="AF110" s="256">
        <v>9221185.9065959323</v>
      </c>
      <c r="AG110" s="256">
        <v>1377977212.9065957</v>
      </c>
    </row>
    <row r="111" spans="1:33" x14ac:dyDescent="0.25">
      <c r="A111" s="255" t="s">
        <v>99</v>
      </c>
      <c r="B111" s="255" t="s">
        <v>237</v>
      </c>
      <c r="C111" s="256">
        <v>519480990.07444096</v>
      </c>
      <c r="D111" s="256">
        <v>81647465.671871871</v>
      </c>
      <c r="E111" s="256">
        <v>1170830.0308423564</v>
      </c>
      <c r="F111" s="256">
        <v>7510244.9937084056</v>
      </c>
      <c r="G111" s="256">
        <v>5799781.0317771044</v>
      </c>
      <c r="H111" s="256">
        <v>85227.197359361264</v>
      </c>
      <c r="I111" s="256">
        <v>324438950.39146942</v>
      </c>
      <c r="J111" s="256">
        <v>55523836.278534196</v>
      </c>
      <c r="K111" s="256">
        <v>20416806.140671201</v>
      </c>
      <c r="L111" s="256">
        <v>266551.73809853324</v>
      </c>
      <c r="M111" s="256">
        <v>6722809.8848355673</v>
      </c>
      <c r="N111" s="256">
        <v>68790.069607783385</v>
      </c>
      <c r="O111" s="256">
        <v>38160797.990844555</v>
      </c>
      <c r="P111" s="256">
        <v>673978.99549451843</v>
      </c>
      <c r="Q111" s="256">
        <v>4988315.2515587872</v>
      </c>
      <c r="R111" s="256">
        <v>410450.0443001489</v>
      </c>
      <c r="S111" s="256">
        <v>2059763.2145852654</v>
      </c>
      <c r="T111" s="256">
        <v>26140403.467587814</v>
      </c>
      <c r="U111" s="256">
        <v>34221308.805966653</v>
      </c>
      <c r="V111" s="256">
        <v>3463901.417149574</v>
      </c>
      <c r="W111" s="256">
        <v>473117.01676228776</v>
      </c>
      <c r="X111" s="256">
        <v>723606.91665971512</v>
      </c>
      <c r="Y111" s="256">
        <v>685544.97659398592</v>
      </c>
      <c r="Z111" s="256">
        <v>33018964.126137991</v>
      </c>
      <c r="AA111" s="256">
        <v>6919979.2015344305</v>
      </c>
      <c r="AB111" s="256">
        <v>3028103.2737028515</v>
      </c>
      <c r="AC111" s="256">
        <v>1525804.7695665555</v>
      </c>
      <c r="AD111" s="256">
        <v>15595332.871352999</v>
      </c>
      <c r="AE111" s="256">
        <v>61801.15698513078</v>
      </c>
      <c r="AF111" s="256">
        <v>9223263.5936116036</v>
      </c>
      <c r="AG111" s="256">
        <v>1204506720.5936117</v>
      </c>
    </row>
    <row r="112" spans="1:33" x14ac:dyDescent="0.25">
      <c r="A112" s="255" t="s">
        <v>99</v>
      </c>
      <c r="B112" s="255" t="s">
        <v>238</v>
      </c>
      <c r="C112" s="256">
        <v>477371897.83110774</v>
      </c>
      <c r="D112" s="256">
        <v>59767992.572201274</v>
      </c>
      <c r="E112" s="256">
        <v>862210.93330732675</v>
      </c>
      <c r="F112" s="256">
        <v>6483508.3879043143</v>
      </c>
      <c r="G112" s="256">
        <v>4105413.2637694799</v>
      </c>
      <c r="H112" s="256">
        <v>85200.011709853745</v>
      </c>
      <c r="I112" s="256">
        <v>301123121.21352452</v>
      </c>
      <c r="J112" s="256">
        <v>51333203.247665271</v>
      </c>
      <c r="K112" s="256">
        <v>18092236.130602777</v>
      </c>
      <c r="L112" s="256">
        <v>248994.70445346009</v>
      </c>
      <c r="M112" s="256">
        <v>5934497.0568866478</v>
      </c>
      <c r="N112" s="256">
        <v>57197.012545454279</v>
      </c>
      <c r="O112" s="256">
        <v>33932268.311954319</v>
      </c>
      <c r="P112" s="256">
        <v>587482.16876900371</v>
      </c>
      <c r="Q112" s="256">
        <v>4270478.2749289665</v>
      </c>
      <c r="R112" s="256">
        <v>2120319.8914547008</v>
      </c>
      <c r="S112" s="256">
        <v>2058781.9872148857</v>
      </c>
      <c r="T112" s="256">
        <v>25062995.390584551</v>
      </c>
      <c r="U112" s="256">
        <v>33900702.574069008</v>
      </c>
      <c r="V112" s="256">
        <v>3418792.0592171391</v>
      </c>
      <c r="W112" s="256">
        <v>544629.62365569593</v>
      </c>
      <c r="X112" s="256">
        <v>1705475.2853023335</v>
      </c>
      <c r="Y112" s="256">
        <v>788038.78841494862</v>
      </c>
      <c r="Z112" s="256">
        <v>33727022.986101866</v>
      </c>
      <c r="AA112" s="256">
        <v>4479538.6604523584</v>
      </c>
      <c r="AB112" s="256">
        <v>3106583.1478854753</v>
      </c>
      <c r="AC112" s="256">
        <v>1429425.9280877532</v>
      </c>
      <c r="AD112" s="256">
        <v>14642395.762302067</v>
      </c>
      <c r="AE112" s="256">
        <v>61769.793926812737</v>
      </c>
      <c r="AF112" s="256">
        <v>9225342.2974411771</v>
      </c>
      <c r="AG112" s="256">
        <v>1100527515.297441</v>
      </c>
    </row>
    <row r="113" spans="1:33" x14ac:dyDescent="0.25">
      <c r="A113" s="255" t="s">
        <v>99</v>
      </c>
      <c r="B113" s="255" t="s">
        <v>239</v>
      </c>
      <c r="C113" s="256">
        <v>695346818.92657161</v>
      </c>
      <c r="D113" s="256">
        <v>51685186.413904071</v>
      </c>
      <c r="E113" s="256">
        <v>937763.31252540171</v>
      </c>
      <c r="F113" s="256">
        <v>7921968.2348769829</v>
      </c>
      <c r="G113" s="256">
        <v>3626694.2721493784</v>
      </c>
      <c r="H113" s="256">
        <v>85172.839972510963</v>
      </c>
      <c r="I113" s="256">
        <v>337026199.19548923</v>
      </c>
      <c r="J113" s="256">
        <v>59681859.713968724</v>
      </c>
      <c r="K113" s="256">
        <v>21005479.683692522</v>
      </c>
      <c r="L113" s="256">
        <v>293168.12797198974</v>
      </c>
      <c r="M113" s="256">
        <v>6298796.9396487223</v>
      </c>
      <c r="N113" s="256">
        <v>72167.835026126733</v>
      </c>
      <c r="O113" s="256">
        <v>38936532.714418106</v>
      </c>
      <c r="P113" s="256">
        <v>1096515.1574433581</v>
      </c>
      <c r="Q113" s="256">
        <v>5187081.6371752378</v>
      </c>
      <c r="R113" s="256">
        <v>553829.70397365047</v>
      </c>
      <c r="S113" s="256">
        <v>2057801.291192204</v>
      </c>
      <c r="T113" s="256">
        <v>24018700.246088579</v>
      </c>
      <c r="U113" s="256">
        <v>34954502.299995713</v>
      </c>
      <c r="V113" s="256">
        <v>3874042.0338174067</v>
      </c>
      <c r="W113" s="256">
        <v>257625.8292630676</v>
      </c>
      <c r="X113" s="256">
        <v>1584747.8954357712</v>
      </c>
      <c r="Y113" s="256">
        <v>889136.75499713421</v>
      </c>
      <c r="Z113" s="256">
        <v>36982920.601868212</v>
      </c>
      <c r="AA113" s="256">
        <v>9522707.793968223</v>
      </c>
      <c r="AB113" s="256">
        <v>2943675.1995077319</v>
      </c>
      <c r="AC113" s="256">
        <v>1458525.4076549883</v>
      </c>
      <c r="AD113" s="256">
        <v>13482918.480838405</v>
      </c>
      <c r="AE113" s="256">
        <v>61738.456564773805</v>
      </c>
      <c r="AF113" s="256">
        <v>9227422.0184454713</v>
      </c>
      <c r="AG113" s="256">
        <v>1371071699.0184445</v>
      </c>
    </row>
    <row r="114" spans="1:33" x14ac:dyDescent="0.25">
      <c r="A114" s="255" t="s">
        <v>99</v>
      </c>
      <c r="B114" s="255" t="s">
        <v>240</v>
      </c>
      <c r="C114" s="256">
        <v>1026406542.7238901</v>
      </c>
      <c r="D114" s="256">
        <v>65829826.604897529</v>
      </c>
      <c r="E114" s="256">
        <v>1170963.5643005809</v>
      </c>
      <c r="F114" s="256">
        <v>10806730.02943694</v>
      </c>
      <c r="G114" s="256">
        <v>4213137.3953393158</v>
      </c>
      <c r="H114" s="256">
        <v>85145.682135525407</v>
      </c>
      <c r="I114" s="256">
        <v>390628373.74587983</v>
      </c>
      <c r="J114" s="256">
        <v>71653294.141427696</v>
      </c>
      <c r="K114" s="256">
        <v>23925471.664284796</v>
      </c>
      <c r="L114" s="256">
        <v>379229.44758931268</v>
      </c>
      <c r="M114" s="256">
        <v>8052757.1497801971</v>
      </c>
      <c r="N114" s="256">
        <v>89176.737895792656</v>
      </c>
      <c r="O114" s="256">
        <v>50035706.987168975</v>
      </c>
      <c r="P114" s="256">
        <v>777059.90407843434</v>
      </c>
      <c r="Q114" s="256">
        <v>6398762.5308288075</v>
      </c>
      <c r="R114" s="256">
        <v>502160.56486492301</v>
      </c>
      <c r="S114" s="256">
        <v>2056821.1262013002</v>
      </c>
      <c r="T114" s="256">
        <v>26260130.803035486</v>
      </c>
      <c r="U114" s="256">
        <v>41009831.213100746</v>
      </c>
      <c r="V114" s="256">
        <v>3174650.7791418065</v>
      </c>
      <c r="W114" s="256">
        <v>-423751.49908971443</v>
      </c>
      <c r="X114" s="256">
        <v>1912626.8482867188</v>
      </c>
      <c r="Y114" s="256">
        <v>1117143.1568758667</v>
      </c>
      <c r="Z114" s="256">
        <v>39268388.259638235</v>
      </c>
      <c r="AA114" s="256">
        <v>7485136.9656840982</v>
      </c>
      <c r="AB114" s="256">
        <v>2925108.1238937727</v>
      </c>
      <c r="AC114" s="256">
        <v>1680004.492147428</v>
      </c>
      <c r="AD114" s="256">
        <v>12898103.712412238</v>
      </c>
      <c r="AE114" s="256">
        <v>61707.144873305529</v>
      </c>
      <c r="AF114" s="256">
        <v>9229502.7569545731</v>
      </c>
      <c r="AG114" s="256">
        <v>1809609742.7569549</v>
      </c>
    </row>
    <row r="115" spans="1:33" x14ac:dyDescent="0.25">
      <c r="A115" s="255" t="s">
        <v>99</v>
      </c>
      <c r="B115" s="255" t="s">
        <v>241</v>
      </c>
      <c r="C115" s="256">
        <v>1170267515.26405</v>
      </c>
      <c r="D115" s="256">
        <v>74581779.315639436</v>
      </c>
      <c r="E115" s="256">
        <v>1181832.7701236396</v>
      </c>
      <c r="F115" s="256">
        <v>12014164.126210123</v>
      </c>
      <c r="G115" s="256">
        <v>4645813.9857892524</v>
      </c>
      <c r="H115" s="256">
        <v>85118.538186985403</v>
      </c>
      <c r="I115" s="256">
        <v>446952014.94694597</v>
      </c>
      <c r="J115" s="256">
        <v>77879887.083750278</v>
      </c>
      <c r="K115" s="256">
        <v>27542254.383156732</v>
      </c>
      <c r="L115" s="256">
        <v>372183.07739647804</v>
      </c>
      <c r="M115" s="256">
        <v>8660044.706310017</v>
      </c>
      <c r="N115" s="256">
        <v>119974.51242243545</v>
      </c>
      <c r="O115" s="256">
        <v>51016710.334428459</v>
      </c>
      <c r="P115" s="256">
        <v>608308.8245595824</v>
      </c>
      <c r="Q115" s="256">
        <v>7874822.0670818016</v>
      </c>
      <c r="R115" s="256">
        <v>786464.57202467485</v>
      </c>
      <c r="S115" s="256">
        <v>2055841.4919236556</v>
      </c>
      <c r="T115" s="256">
        <v>26772059.914744131</v>
      </c>
      <c r="U115" s="256">
        <v>40256609.370844156</v>
      </c>
      <c r="V115" s="256">
        <v>4173128.9957093066</v>
      </c>
      <c r="W115" s="256">
        <v>1155269.7413217491</v>
      </c>
      <c r="X115" s="256">
        <v>1941872.3760907538</v>
      </c>
      <c r="Y115" s="256">
        <v>3140024.6972459289</v>
      </c>
      <c r="Z115" s="256">
        <v>41230203.111968763</v>
      </c>
      <c r="AA115" s="256">
        <v>7479909.6746587288</v>
      </c>
      <c r="AB115" s="256">
        <v>4225199.5211704914</v>
      </c>
      <c r="AC115" s="256">
        <v>1677173.9371136536</v>
      </c>
      <c r="AD115" s="256">
        <v>14535943.800305691</v>
      </c>
      <c r="AE115" s="256">
        <v>61675.858826633244</v>
      </c>
      <c r="AF115" s="256">
        <v>9231584.5132813267</v>
      </c>
      <c r="AG115" s="256">
        <v>2042525385.5132809</v>
      </c>
    </row>
    <row r="116" spans="1:33" x14ac:dyDescent="0.25">
      <c r="A116" s="255" t="s">
        <v>99</v>
      </c>
      <c r="B116" s="255" t="s">
        <v>242</v>
      </c>
      <c r="C116" s="256">
        <v>1009286117.6075151</v>
      </c>
      <c r="D116" s="256">
        <v>65999661.626534477</v>
      </c>
      <c r="E116" s="256">
        <v>1138057.4864501269</v>
      </c>
      <c r="F116" s="256">
        <v>10536844.425446058</v>
      </c>
      <c r="G116" s="256">
        <v>4117497.445939044</v>
      </c>
      <c r="H116" s="256">
        <v>85091.40811496244</v>
      </c>
      <c r="I116" s="256">
        <v>397738136.56759089</v>
      </c>
      <c r="J116" s="256">
        <v>71713072.100884005</v>
      </c>
      <c r="K116" s="256">
        <v>25454287.465224639</v>
      </c>
      <c r="L116" s="256">
        <v>371094.58301078383</v>
      </c>
      <c r="M116" s="256">
        <v>8121768.9733049348</v>
      </c>
      <c r="N116" s="256">
        <v>107344.57903459802</v>
      </c>
      <c r="O116" s="256">
        <v>49382661.471140072</v>
      </c>
      <c r="P116" s="256">
        <v>601711.32239990216</v>
      </c>
      <c r="Q116" s="256">
        <v>7139873.7143168356</v>
      </c>
      <c r="R116" s="256">
        <v>671221.8350534247</v>
      </c>
      <c r="S116" s="256">
        <v>2054862.3880398306</v>
      </c>
      <c r="T116" s="256">
        <v>26222515.771149077</v>
      </c>
      <c r="U116" s="256">
        <v>37546055.438460514</v>
      </c>
      <c r="V116" s="256">
        <v>4044622.3497057403</v>
      </c>
      <c r="W116" s="256">
        <v>523657.32273140765</v>
      </c>
      <c r="X116" s="256">
        <v>1906718.4692641962</v>
      </c>
      <c r="Y116" s="256">
        <v>961500.09853806428</v>
      </c>
      <c r="Z116" s="256">
        <v>39800583.98388429</v>
      </c>
      <c r="AA116" s="256">
        <v>6958839.8131790878</v>
      </c>
      <c r="AB116" s="256">
        <v>4155199.0933212489</v>
      </c>
      <c r="AC116" s="256">
        <v>1646564.8158759566</v>
      </c>
      <c r="AD116" s="256">
        <v>14803726.245491412</v>
      </c>
      <c r="AE116" s="256">
        <v>61644.598398969807</v>
      </c>
      <c r="AF116" s="256">
        <v>9233667.2877363637</v>
      </c>
      <c r="AG116" s="256">
        <v>1802384600.2877367</v>
      </c>
    </row>
    <row r="117" spans="1:33" x14ac:dyDescent="0.25">
      <c r="A117" s="255" t="s">
        <v>99</v>
      </c>
      <c r="B117" s="255" t="s">
        <v>243</v>
      </c>
      <c r="C117" s="256">
        <v>634988879.45572746</v>
      </c>
      <c r="D117" s="256">
        <v>49174186.030908257</v>
      </c>
      <c r="E117" s="256">
        <v>864462.97144075623</v>
      </c>
      <c r="F117" s="256">
        <v>7185877.889129403</v>
      </c>
      <c r="G117" s="256">
        <v>3253686.360886551</v>
      </c>
      <c r="H117" s="256">
        <v>85064.291907582898</v>
      </c>
      <c r="I117" s="256">
        <v>323784061.08156049</v>
      </c>
      <c r="J117" s="256">
        <v>61779125.845792264</v>
      </c>
      <c r="K117" s="256">
        <v>20100901.486953374</v>
      </c>
      <c r="L117" s="256">
        <v>279395.95485393133</v>
      </c>
      <c r="M117" s="256">
        <v>6967377.4396228194</v>
      </c>
      <c r="N117" s="256">
        <v>64546.170760013265</v>
      </c>
      <c r="O117" s="256">
        <v>41982088.170686454</v>
      </c>
      <c r="P117" s="256">
        <v>773542.84765102284</v>
      </c>
      <c r="Q117" s="256">
        <v>5473450.764561587</v>
      </c>
      <c r="R117" s="256">
        <v>1682242.4233271847</v>
      </c>
      <c r="S117" s="256">
        <v>2053883.8142309189</v>
      </c>
      <c r="T117" s="256">
        <v>22702435.985405114</v>
      </c>
      <c r="U117" s="256">
        <v>35933991.282616302</v>
      </c>
      <c r="V117" s="256">
        <v>3305822.467956814</v>
      </c>
      <c r="W117" s="256">
        <v>413672.50354693935</v>
      </c>
      <c r="X117" s="256">
        <v>1554314.1833876304</v>
      </c>
      <c r="Y117" s="256">
        <v>1989787.0703824097</v>
      </c>
      <c r="Z117" s="256">
        <v>36364859.653000832</v>
      </c>
      <c r="AA117" s="256">
        <v>6462838.0069608279</v>
      </c>
      <c r="AB117" s="256">
        <v>3398187.6668919399</v>
      </c>
      <c r="AC117" s="256">
        <v>1443939.6119253805</v>
      </c>
      <c r="AD117" s="256">
        <v>14031809.204361226</v>
      </c>
      <c r="AE117" s="256">
        <v>61613.363564563449</v>
      </c>
      <c r="AF117" s="256">
        <v>9235751.080640493</v>
      </c>
      <c r="AG117" s="256">
        <v>1297391795.0806406</v>
      </c>
    </row>
    <row r="118" spans="1:33" x14ac:dyDescent="0.25">
      <c r="A118" s="255" t="s">
        <v>99</v>
      </c>
      <c r="B118" s="255" t="s">
        <v>244</v>
      </c>
      <c r="C118" s="256">
        <v>529084112.46936232</v>
      </c>
      <c r="D118" s="256">
        <v>54978340.67586875</v>
      </c>
      <c r="E118" s="256">
        <v>939072.88542826031</v>
      </c>
      <c r="F118" s="256">
        <v>6709035.0364721129</v>
      </c>
      <c r="G118" s="256">
        <v>3811450.7433154844</v>
      </c>
      <c r="H118" s="256">
        <v>85037.189553070406</v>
      </c>
      <c r="I118" s="256">
        <v>318859170.68842226</v>
      </c>
      <c r="J118" s="256">
        <v>59992146.019632235</v>
      </c>
      <c r="K118" s="256">
        <v>21153025.41784057</v>
      </c>
      <c r="L118" s="256">
        <v>274042.84480000701</v>
      </c>
      <c r="M118" s="256">
        <v>5596864.8294329625</v>
      </c>
      <c r="N118" s="256">
        <v>55803.582779405144</v>
      </c>
      <c r="O118" s="256">
        <v>44642641.204632156</v>
      </c>
      <c r="P118" s="256">
        <v>1199119.8953685919</v>
      </c>
      <c r="Q118" s="256">
        <v>5393002.0467358334</v>
      </c>
      <c r="R118" s="256">
        <v>508501.70017662458</v>
      </c>
      <c r="S118" s="256">
        <v>2052905.7701794768</v>
      </c>
      <c r="T118" s="256">
        <v>23952594.119095009</v>
      </c>
      <c r="U118" s="256">
        <v>35978719.826136857</v>
      </c>
      <c r="V118" s="256">
        <v>3483442.5287862844</v>
      </c>
      <c r="W118" s="256">
        <v>216650.44156060909</v>
      </c>
      <c r="X118" s="256">
        <v>1438073.2083117622</v>
      </c>
      <c r="Y118" s="256">
        <v>1110133.0039456144</v>
      </c>
      <c r="Z118" s="256">
        <v>32106161.159303963</v>
      </c>
      <c r="AA118" s="256">
        <v>7386445.1206506342</v>
      </c>
      <c r="AB118" s="256">
        <v>2803308.9684078665</v>
      </c>
      <c r="AC118" s="256">
        <v>1271593.7796998641</v>
      </c>
      <c r="AD118" s="256">
        <v>15935527.689803807</v>
      </c>
      <c r="AE118" s="256">
        <v>61582.154297730202</v>
      </c>
      <c r="AF118" s="256">
        <v>9237835.8923319243</v>
      </c>
      <c r="AG118" s="256">
        <v>1190316340.8923316</v>
      </c>
    </row>
    <row r="119" spans="1:33" x14ac:dyDescent="0.25">
      <c r="A119" s="255" t="s">
        <v>99</v>
      </c>
      <c r="B119" s="255" t="s">
        <v>245</v>
      </c>
      <c r="C119" s="256">
        <v>611968153.28145051</v>
      </c>
      <c r="D119" s="256">
        <v>87738892.718529254</v>
      </c>
      <c r="E119" s="256">
        <v>1351955.2080369205</v>
      </c>
      <c r="F119" s="256">
        <v>8640442.5807923824</v>
      </c>
      <c r="G119" s="256">
        <v>6381068.1986672468</v>
      </c>
      <c r="H119" s="256">
        <v>84983.0125236202</v>
      </c>
      <c r="I119" s="256">
        <v>344185181.99627674</v>
      </c>
      <c r="J119" s="256">
        <v>64739412.440678716</v>
      </c>
      <c r="K119" s="256">
        <v>23976144.677273825</v>
      </c>
      <c r="L119" s="256">
        <v>269939.52562012977</v>
      </c>
      <c r="M119" s="256">
        <v>4641287.2180529339</v>
      </c>
      <c r="N119" s="256">
        <v>76190.475898865101</v>
      </c>
      <c r="O119" s="256">
        <v>51673438.24108848</v>
      </c>
      <c r="P119" s="256">
        <v>1333183.1047517539</v>
      </c>
      <c r="Q119" s="256">
        <v>5403950.6659947494</v>
      </c>
      <c r="R119" s="256">
        <v>297568.91345498234</v>
      </c>
      <c r="S119" s="256">
        <v>2050950.7409088295</v>
      </c>
      <c r="T119" s="256">
        <v>22477819.005319498</v>
      </c>
      <c r="U119" s="256">
        <v>36273934.553368159</v>
      </c>
      <c r="V119" s="256">
        <v>3278518.3753442583</v>
      </c>
      <c r="W119" s="256">
        <v>213890.05519385412</v>
      </c>
      <c r="X119" s="256">
        <v>1162017.2907310193</v>
      </c>
      <c r="Y119" s="256">
        <v>1098317.2143521346</v>
      </c>
      <c r="Z119" s="256">
        <v>39336545.667291626</v>
      </c>
      <c r="AA119" s="256">
        <v>8834705.4399197511</v>
      </c>
      <c r="AB119" s="256">
        <v>3165294.6282575177</v>
      </c>
      <c r="AC119" s="256">
        <v>2007224.5487101406</v>
      </c>
      <c r="AD119" s="256">
        <v>14222138.434665708</v>
      </c>
      <c r="AE119" s="256">
        <v>61519.786846307266</v>
      </c>
      <c r="AF119" s="256">
        <v>9242007.5534801781</v>
      </c>
      <c r="AG119" s="256">
        <v>1356186675.5534801</v>
      </c>
    </row>
    <row r="120" spans="1:33" x14ac:dyDescent="0.25">
      <c r="A120" s="255" t="s">
        <v>99</v>
      </c>
      <c r="B120" s="255" t="s">
        <v>246</v>
      </c>
      <c r="C120" s="256">
        <v>736694559.63145673</v>
      </c>
      <c r="D120" s="256">
        <v>122715392.13464321</v>
      </c>
      <c r="E120" s="256">
        <v>1767194.4298914631</v>
      </c>
      <c r="F120" s="256">
        <v>10827980.451527914</v>
      </c>
      <c r="G120" s="256">
        <v>8573153.4008110203</v>
      </c>
      <c r="H120" s="256">
        <v>84955.95166972412</v>
      </c>
      <c r="I120" s="256">
        <v>365858935.40081847</v>
      </c>
      <c r="J120" s="256">
        <v>62763893.698891804</v>
      </c>
      <c r="K120" s="256">
        <v>24999581.416279774</v>
      </c>
      <c r="L120" s="256">
        <v>290523.99877965014</v>
      </c>
      <c r="M120" s="256">
        <v>7579886.5021102838</v>
      </c>
      <c r="N120" s="256">
        <v>101516.02049412589</v>
      </c>
      <c r="O120" s="256">
        <v>50499716.215572484</v>
      </c>
      <c r="P120" s="256">
        <v>901276.46842610347</v>
      </c>
      <c r="Q120" s="256">
        <v>6024349.4244707674</v>
      </c>
      <c r="R120" s="256">
        <v>178018.56960289602</v>
      </c>
      <c r="S120" s="256">
        <v>2049974.2845534424</v>
      </c>
      <c r="T120" s="256">
        <v>23782891.461638894</v>
      </c>
      <c r="U120" s="256">
        <v>34208289.012325346</v>
      </c>
      <c r="V120" s="256">
        <v>3447829.8453323958</v>
      </c>
      <c r="W120" s="256">
        <v>251195.88184958312</v>
      </c>
      <c r="X120" s="256">
        <v>1381242.6681211048</v>
      </c>
      <c r="Y120" s="256">
        <v>1099433.8715471795</v>
      </c>
      <c r="Z120" s="256">
        <v>34656958.635264486</v>
      </c>
      <c r="AA120" s="256">
        <v>15092294.059670312</v>
      </c>
      <c r="AB120" s="256">
        <v>3497849.328515267</v>
      </c>
      <c r="AC120" s="256">
        <v>1692593.5588271378</v>
      </c>
      <c r="AD120" s="256">
        <v>14652706.022754032</v>
      </c>
      <c r="AE120" s="256">
        <v>61488.654154273798</v>
      </c>
      <c r="AF120" s="256">
        <v>9244095.4234100133</v>
      </c>
      <c r="AG120" s="256">
        <v>1544979776.4234097</v>
      </c>
    </row>
    <row r="121" spans="1:33" x14ac:dyDescent="0.25">
      <c r="A121" s="255" t="s">
        <v>99</v>
      </c>
      <c r="B121" s="255" t="s">
        <v>247</v>
      </c>
      <c r="C121" s="256">
        <v>688263688.15900421</v>
      </c>
      <c r="D121" s="256">
        <v>126262992.99733944</v>
      </c>
      <c r="E121" s="256">
        <v>1617316.0810351127</v>
      </c>
      <c r="F121" s="256">
        <v>10537306.893829186</v>
      </c>
      <c r="G121" s="256">
        <v>8835915.9641689863</v>
      </c>
      <c r="H121" s="256">
        <v>84928.904623054637</v>
      </c>
      <c r="I121" s="256">
        <v>360891195.70066053</v>
      </c>
      <c r="J121" s="256">
        <v>55110867.413118549</v>
      </c>
      <c r="K121" s="256">
        <v>22500558.997493815</v>
      </c>
      <c r="L121" s="256">
        <v>242212.82240201594</v>
      </c>
      <c r="M121" s="256">
        <v>6728200.3852171497</v>
      </c>
      <c r="N121" s="256">
        <v>81658.525158951379</v>
      </c>
      <c r="O121" s="256">
        <v>45583622.484808281</v>
      </c>
      <c r="P121" s="256">
        <v>2071350.5409588667</v>
      </c>
      <c r="Q121" s="256">
        <v>5497691.9370016539</v>
      </c>
      <c r="R121" s="256">
        <v>167990.83646610857</v>
      </c>
      <c r="S121" s="256">
        <v>2048998.3567141066</v>
      </c>
      <c r="T121" s="256">
        <v>24714086.350968748</v>
      </c>
      <c r="U121" s="256">
        <v>32107907.154639121</v>
      </c>
      <c r="V121" s="256">
        <v>3508090.6831441778</v>
      </c>
      <c r="W121" s="256">
        <v>538017.14636734966</v>
      </c>
      <c r="X121" s="256">
        <v>1535309.2875188054</v>
      </c>
      <c r="Y121" s="256">
        <v>1054337.4014523635</v>
      </c>
      <c r="Z121" s="256">
        <v>32542260.849855669</v>
      </c>
      <c r="AA121" s="256">
        <v>13328331.085318763</v>
      </c>
      <c r="AB121" s="256">
        <v>3434699.4424998113</v>
      </c>
      <c r="AC121" s="256">
        <v>1491072.2982581018</v>
      </c>
      <c r="AD121" s="256">
        <v>15151555.753048846</v>
      </c>
      <c r="AE121" s="256">
        <v>61457.54692822275</v>
      </c>
      <c r="AF121" s="256">
        <v>9246184.3137248475</v>
      </c>
      <c r="AG121" s="256">
        <v>1475239806.3137245</v>
      </c>
    </row>
    <row r="122" spans="1:33" x14ac:dyDescent="0.25">
      <c r="A122" s="255" t="s">
        <v>99</v>
      </c>
      <c r="B122" s="255" t="s">
        <v>248</v>
      </c>
      <c r="C122" s="256">
        <v>609922304.3841325</v>
      </c>
      <c r="D122" s="256">
        <v>110275444.12863722</v>
      </c>
      <c r="E122" s="256">
        <v>1606904.5249840657</v>
      </c>
      <c r="F122" s="256">
        <v>9356845.1472169962</v>
      </c>
      <c r="G122" s="256">
        <v>7560319.9436572092</v>
      </c>
      <c r="H122" s="256">
        <v>84901.871372097143</v>
      </c>
      <c r="I122" s="256">
        <v>342735563.26574945</v>
      </c>
      <c r="J122" s="256">
        <v>48438150.056544974</v>
      </c>
      <c r="K122" s="256">
        <v>18277780.731827546</v>
      </c>
      <c r="L122" s="256">
        <v>201775.06414334691</v>
      </c>
      <c r="M122" s="256">
        <v>5188254.6844950831</v>
      </c>
      <c r="N122" s="256">
        <v>62216.7564300378</v>
      </c>
      <c r="O122" s="256">
        <v>35514524.400932789</v>
      </c>
      <c r="P122" s="256">
        <v>897846.28819217056</v>
      </c>
      <c r="Q122" s="256">
        <v>4018695.4895256511</v>
      </c>
      <c r="R122" s="256">
        <v>106973.30507983561</v>
      </c>
      <c r="S122" s="256">
        <v>2048022.9570791048</v>
      </c>
      <c r="T122" s="256">
        <v>27200472.411022052</v>
      </c>
      <c r="U122" s="256">
        <v>35329936.492869675</v>
      </c>
      <c r="V122" s="256">
        <v>3235614.8940369198</v>
      </c>
      <c r="W122" s="256">
        <v>467289.51317177992</v>
      </c>
      <c r="X122" s="256">
        <v>1580471.9859051078</v>
      </c>
      <c r="Y122" s="256">
        <v>1088938.1806664169</v>
      </c>
      <c r="Z122" s="256">
        <v>33266790.23443478</v>
      </c>
      <c r="AA122" s="256">
        <v>12717377.892923897</v>
      </c>
      <c r="AB122" s="256">
        <v>3579561.0576885748</v>
      </c>
      <c r="AC122" s="256">
        <v>1392631.4241437095</v>
      </c>
      <c r="AD122" s="256">
        <v>7654779.4479942936</v>
      </c>
      <c r="AE122" s="256">
        <v>61426.465142772351</v>
      </c>
      <c r="AF122" s="256">
        <v>9248274.224795714</v>
      </c>
      <c r="AG122" s="256">
        <v>1333120087.2247958</v>
      </c>
    </row>
    <row r="123" spans="1:33" x14ac:dyDescent="0.25">
      <c r="A123" s="255" t="s">
        <v>99</v>
      </c>
      <c r="B123" s="255" t="s">
        <v>249</v>
      </c>
      <c r="C123" s="256">
        <v>517547705.81124896</v>
      </c>
      <c r="D123" s="256">
        <v>81348498.269133478</v>
      </c>
      <c r="E123" s="256">
        <v>1166817.3077052434</v>
      </c>
      <c r="F123" s="256">
        <v>7481675.0468770014</v>
      </c>
      <c r="G123" s="256">
        <v>5777506.7131300382</v>
      </c>
      <c r="H123" s="256">
        <v>84874.851905313073</v>
      </c>
      <c r="I123" s="256">
        <v>305250930.15673882</v>
      </c>
      <c r="J123" s="256">
        <v>52243279.393808477</v>
      </c>
      <c r="K123" s="256">
        <v>19207052.868675988</v>
      </c>
      <c r="L123" s="256">
        <v>250777.32911959931</v>
      </c>
      <c r="M123" s="256">
        <v>6324957.0951013118</v>
      </c>
      <c r="N123" s="256">
        <v>64710.337133638517</v>
      </c>
      <c r="O123" s="256">
        <v>35915814.92605336</v>
      </c>
      <c r="P123" s="256">
        <v>635207.0296923928</v>
      </c>
      <c r="Q123" s="256">
        <v>4692537.0722586373</v>
      </c>
      <c r="R123" s="256">
        <v>387057.70608175849</v>
      </c>
      <c r="S123" s="256">
        <v>2047048.0853361185</v>
      </c>
      <c r="T123" s="256">
        <v>25368563.172704723</v>
      </c>
      <c r="U123" s="256">
        <v>33057403.340466954</v>
      </c>
      <c r="V123" s="256">
        <v>3335994.7406820892</v>
      </c>
      <c r="W123" s="256">
        <v>455644.16738944739</v>
      </c>
      <c r="X123" s="256">
        <v>696069.66368875932</v>
      </c>
      <c r="Y123" s="256">
        <v>660288.65351073875</v>
      </c>
      <c r="Z123" s="256">
        <v>31787492.587246254</v>
      </c>
      <c r="AA123" s="256">
        <v>6663240.7484464403</v>
      </c>
      <c r="AB123" s="256">
        <v>2915836.7756804884</v>
      </c>
      <c r="AC123" s="256">
        <v>1468877.9624379864</v>
      </c>
      <c r="AD123" s="256">
        <v>15024541.778973579</v>
      </c>
      <c r="AE123" s="256">
        <v>61395.40877254201</v>
      </c>
      <c r="AF123" s="256">
        <v>9250365.1569880992</v>
      </c>
      <c r="AG123" s="256">
        <v>1171172164.1569881</v>
      </c>
    </row>
    <row r="124" spans="1:33" x14ac:dyDescent="0.25">
      <c r="A124" s="255" t="s">
        <v>99</v>
      </c>
      <c r="B124" s="255" t="s">
        <v>250</v>
      </c>
      <c r="C124" s="256">
        <v>474759011.76037759</v>
      </c>
      <c r="D124" s="256">
        <v>59449729.390114911</v>
      </c>
      <c r="E124" s="256">
        <v>857529.19735200622</v>
      </c>
      <c r="F124" s="256">
        <v>6447745.0018317057</v>
      </c>
      <c r="G124" s="256">
        <v>4081605.8041125867</v>
      </c>
      <c r="H124" s="256">
        <v>84847.846211154188</v>
      </c>
      <c r="I124" s="256">
        <v>281033494.51891148</v>
      </c>
      <c r="J124" s="256">
        <v>47887181.256923318</v>
      </c>
      <c r="K124" s="256">
        <v>16876422.596770212</v>
      </c>
      <c r="L124" s="256">
        <v>232246.1537431599</v>
      </c>
      <c r="M124" s="256">
        <v>5535314.9734139815</v>
      </c>
      <c r="N124" s="256">
        <v>53335.992263278647</v>
      </c>
      <c r="O124" s="256">
        <v>31654799.787496824</v>
      </c>
      <c r="P124" s="256">
        <v>549351.922167429</v>
      </c>
      <c r="Q124" s="256">
        <v>3981921.8201399911</v>
      </c>
      <c r="R124" s="256">
        <v>1983257.2369977855</v>
      </c>
      <c r="S124" s="256">
        <v>2046073.7411724676</v>
      </c>
      <c r="T124" s="256">
        <v>24299668.640072174</v>
      </c>
      <c r="U124" s="256">
        <v>32691704.115516059</v>
      </c>
      <c r="V124" s="256">
        <v>3286208.4735732954</v>
      </c>
      <c r="W124" s="256">
        <v>523525.44677007152</v>
      </c>
      <c r="X124" s="256">
        <v>1640539.7474125514</v>
      </c>
      <c r="Y124" s="256">
        <v>757091.61908547464</v>
      </c>
      <c r="Z124" s="256">
        <v>32406979.763588831</v>
      </c>
      <c r="AA124" s="256">
        <v>4317587.2981118737</v>
      </c>
      <c r="AB124" s="256">
        <v>2986158.3830913962</v>
      </c>
      <c r="AC124" s="256">
        <v>1373658.7768900653</v>
      </c>
      <c r="AD124" s="256">
        <v>14082853.358096065</v>
      </c>
      <c r="AE124" s="256">
        <v>61364.377792159961</v>
      </c>
      <c r="AF124" s="256">
        <v>9252457.1106646508</v>
      </c>
      <c r="AG124" s="256">
        <v>1065193666.1106645</v>
      </c>
    </row>
    <row r="125" spans="1:33" x14ac:dyDescent="0.25">
      <c r="A125" s="255" t="s">
        <v>99</v>
      </c>
      <c r="B125" s="255" t="s">
        <v>251</v>
      </c>
      <c r="C125" s="256">
        <v>695440119.12978244</v>
      </c>
      <c r="D125" s="256">
        <v>51670758.621253535</v>
      </c>
      <c r="E125" s="256">
        <v>937795.16318597924</v>
      </c>
      <c r="F125" s="256">
        <v>7921770.7981951004</v>
      </c>
      <c r="G125" s="256">
        <v>3625374.4333049026</v>
      </c>
      <c r="H125" s="256">
        <v>84820.854278078928</v>
      </c>
      <c r="I125" s="256">
        <v>317418195.68765366</v>
      </c>
      <c r="J125" s="256">
        <v>56163624.400470465</v>
      </c>
      <c r="K125" s="256">
        <v>19768852.954494826</v>
      </c>
      <c r="L125" s="256">
        <v>275920.55124147754</v>
      </c>
      <c r="M125" s="256">
        <v>5928228.0641095424</v>
      </c>
      <c r="N125" s="256">
        <v>67900.29245656218</v>
      </c>
      <c r="O125" s="256">
        <v>36645424.230901919</v>
      </c>
      <c r="P125" s="256">
        <v>1031707.4387965521</v>
      </c>
      <c r="Q125" s="256">
        <v>4881833.5220443755</v>
      </c>
      <c r="R125" s="256">
        <v>520618.93355529144</v>
      </c>
      <c r="S125" s="256">
        <v>2045099.9242754178</v>
      </c>
      <c r="T125" s="256">
        <v>23344173.204454336</v>
      </c>
      <c r="U125" s="256">
        <v>33800240.733671181</v>
      </c>
      <c r="V125" s="256">
        <v>3737772.4698975985</v>
      </c>
      <c r="W125" s="256">
        <v>246852.65587598694</v>
      </c>
      <c r="X125" s="256">
        <v>1527825.873534336</v>
      </c>
      <c r="Y125" s="256">
        <v>857033.89064597397</v>
      </c>
      <c r="Z125" s="256">
        <v>35655048.527218677</v>
      </c>
      <c r="AA125" s="256">
        <v>9167583.745597126</v>
      </c>
      <c r="AB125" s="256">
        <v>2838721.1241310704</v>
      </c>
      <c r="AC125" s="256">
        <v>1405883.269790058</v>
      </c>
      <c r="AD125" s="256">
        <v>13001890.133007349</v>
      </c>
      <c r="AE125" s="256">
        <v>61333.37217627358</v>
      </c>
      <c r="AF125" s="256">
        <v>9254550.0861881934</v>
      </c>
      <c r="AG125" s="256">
        <v>1339326954.0861878</v>
      </c>
    </row>
    <row r="126" spans="1:33" x14ac:dyDescent="0.25">
      <c r="A126" s="255" t="s">
        <v>99</v>
      </c>
      <c r="B126" s="255" t="s">
        <v>252</v>
      </c>
      <c r="C126" s="256">
        <v>1033955338.5013211</v>
      </c>
      <c r="D126" s="256">
        <v>66310534.298366413</v>
      </c>
      <c r="E126" s="256">
        <v>1179441.9163698638</v>
      </c>
      <c r="F126" s="256">
        <v>10885200.419334732</v>
      </c>
      <c r="G126" s="256">
        <v>4242951.9885133654</v>
      </c>
      <c r="H126" s="256">
        <v>84793.876094567851</v>
      </c>
      <c r="I126" s="256">
        <v>374179566.00642467</v>
      </c>
      <c r="J126" s="256">
        <v>68608393.644217148</v>
      </c>
      <c r="K126" s="256">
        <v>22903599.732913069</v>
      </c>
      <c r="L126" s="256">
        <v>363114.56061676622</v>
      </c>
      <c r="M126" s="256">
        <v>7710565.1810103906</v>
      </c>
      <c r="N126" s="256">
        <v>85347.67465611946</v>
      </c>
      <c r="O126" s="256">
        <v>47935403.159660168</v>
      </c>
      <c r="P126" s="256">
        <v>744519.54645792558</v>
      </c>
      <c r="Q126" s="256">
        <v>6126801.0996527905</v>
      </c>
      <c r="R126" s="256">
        <v>481120.76005846966</v>
      </c>
      <c r="S126" s="256">
        <v>2044126.6343325039</v>
      </c>
      <c r="T126" s="256">
        <v>25581602.662867907</v>
      </c>
      <c r="U126" s="256">
        <v>39776602.485088795</v>
      </c>
      <c r="V126" s="256">
        <v>3067113.2923467685</v>
      </c>
      <c r="W126" s="256">
        <v>-415840.2397863181</v>
      </c>
      <c r="X126" s="256">
        <v>1850457.1858447047</v>
      </c>
      <c r="Y126" s="256">
        <v>1080378.6529124468</v>
      </c>
      <c r="Z126" s="256">
        <v>37994412.251611248</v>
      </c>
      <c r="AA126" s="256">
        <v>7242563.0607071109</v>
      </c>
      <c r="AB126" s="256">
        <v>2831618.8798241094</v>
      </c>
      <c r="AC126" s="256">
        <v>1625214.3827009625</v>
      </c>
      <c r="AD126" s="256">
        <v>12470288.993982716</v>
      </c>
      <c r="AE126" s="256">
        <v>61302.391899559683</v>
      </c>
      <c r="AF126" s="256">
        <v>9256644.0839242712</v>
      </c>
      <c r="AG126" s="256">
        <v>1790263177.0839243</v>
      </c>
    </row>
    <row r="127" spans="1:33" x14ac:dyDescent="0.25">
      <c r="A127" s="255" t="s">
        <v>99</v>
      </c>
      <c r="B127" s="255" t="s">
        <v>253</v>
      </c>
      <c r="C127" s="256">
        <v>1171337648.6396561</v>
      </c>
      <c r="D127" s="256">
        <v>74646204.249461457</v>
      </c>
      <c r="E127" s="256">
        <v>1183011.4657221541</v>
      </c>
      <c r="F127" s="256">
        <v>12023589.414933439</v>
      </c>
      <c r="G127" s="256">
        <v>4648651.318577853</v>
      </c>
      <c r="H127" s="256">
        <v>84766.911649134039</v>
      </c>
      <c r="I127" s="256">
        <v>422548589.96510249</v>
      </c>
      <c r="J127" s="256">
        <v>73630955.114226863</v>
      </c>
      <c r="K127" s="256">
        <v>26036344.74378081</v>
      </c>
      <c r="L127" s="256">
        <v>351851.09067819623</v>
      </c>
      <c r="M127" s="256">
        <v>8186955.1849375777</v>
      </c>
      <c r="N127" s="256">
        <v>113503.81067705969</v>
      </c>
      <c r="O127" s="256">
        <v>48241115.306437239</v>
      </c>
      <c r="P127" s="256">
        <v>575983.79300552257</v>
      </c>
      <c r="Q127" s="256">
        <v>7444416.4688922167</v>
      </c>
      <c r="R127" s="256">
        <v>745087.65123026748</v>
      </c>
      <c r="S127" s="256">
        <v>2043153.8710317598</v>
      </c>
      <c r="T127" s="256">
        <v>26146528.951770939</v>
      </c>
      <c r="U127" s="256">
        <v>39173026.033603206</v>
      </c>
      <c r="V127" s="256">
        <v>4052328.2144670133</v>
      </c>
      <c r="W127" s="256">
        <v>1124442.0023181147</v>
      </c>
      <c r="X127" s="256">
        <v>1886162.5155661569</v>
      </c>
      <c r="Y127" s="256">
        <v>3059853.8692231057</v>
      </c>
      <c r="Z127" s="256">
        <v>40032676.568445921</v>
      </c>
      <c r="AA127" s="256">
        <v>7260670.1683745263</v>
      </c>
      <c r="AB127" s="256">
        <v>4101008.5079797828</v>
      </c>
      <c r="AC127" s="256">
        <v>1628709.4559739877</v>
      </c>
      <c r="AD127" s="256">
        <v>14107510.275340524</v>
      </c>
      <c r="AE127" s="256">
        <v>61271.436936732527</v>
      </c>
      <c r="AF127" s="256">
        <v>9258739.1042428184</v>
      </c>
      <c r="AG127" s="256">
        <v>2005734756.104243</v>
      </c>
    </row>
    <row r="128" spans="1:33" x14ac:dyDescent="0.25">
      <c r="A128" s="255" t="s">
        <v>99</v>
      </c>
      <c r="B128" s="255" t="s">
        <v>254</v>
      </c>
      <c r="C128" s="256">
        <v>1010711786.2427632</v>
      </c>
      <c r="D128" s="256">
        <v>66092023.730915189</v>
      </c>
      <c r="E128" s="256">
        <v>1139535.0244220016</v>
      </c>
      <c r="F128" s="256">
        <v>10550594.261591384</v>
      </c>
      <c r="G128" s="256">
        <v>4122397.7793780002</v>
      </c>
      <c r="H128" s="256">
        <v>84739.960930327055</v>
      </c>
      <c r="I128" s="256">
        <v>376190146.39089096</v>
      </c>
      <c r="J128" s="256">
        <v>67781552.129895061</v>
      </c>
      <c r="K128" s="256">
        <v>24061019.31243062</v>
      </c>
      <c r="L128" s="256">
        <v>350829.08616198972</v>
      </c>
      <c r="M128" s="256">
        <v>7678238.6953909583</v>
      </c>
      <c r="N128" s="256">
        <v>101659.31362500816</v>
      </c>
      <c r="O128" s="256">
        <v>46686718.228205308</v>
      </c>
      <c r="P128" s="256">
        <v>569630.77324106125</v>
      </c>
      <c r="Q128" s="256">
        <v>6750426.8345862748</v>
      </c>
      <c r="R128" s="256">
        <v>635187.60151084012</v>
      </c>
      <c r="S128" s="256">
        <v>2042181.6340618404</v>
      </c>
      <c r="T128" s="256">
        <v>25576836.688342772</v>
      </c>
      <c r="U128" s="256">
        <v>36483484.764741786</v>
      </c>
      <c r="V128" s="256">
        <v>3921178.4231310962</v>
      </c>
      <c r="W128" s="256">
        <v>507635.22996420937</v>
      </c>
      <c r="X128" s="256">
        <v>1849694.294698851</v>
      </c>
      <c r="Y128" s="256">
        <v>932080.45974909433</v>
      </c>
      <c r="Z128" s="256">
        <v>38584433.626337141</v>
      </c>
      <c r="AA128" s="256">
        <v>6743421.9559622603</v>
      </c>
      <c r="AB128" s="256">
        <v>4029345.9368173527</v>
      </c>
      <c r="AC128" s="256">
        <v>1595741.5512037552</v>
      </c>
      <c r="AD128" s="256">
        <v>14352167.561789112</v>
      </c>
      <c r="AE128" s="256">
        <v>61240.507262547835</v>
      </c>
      <c r="AF128" s="256">
        <v>9260835.1475187577</v>
      </c>
      <c r="AG128" s="256">
        <v>1769446763.1475186</v>
      </c>
    </row>
    <row r="129" spans="1:33" x14ac:dyDescent="0.25">
      <c r="A129" s="255" t="s">
        <v>99</v>
      </c>
      <c r="B129" s="255" t="s">
        <v>255</v>
      </c>
      <c r="C129" s="256">
        <v>636416398.16186035</v>
      </c>
      <c r="D129" s="256">
        <v>49294487.574035496</v>
      </c>
      <c r="E129" s="256">
        <v>866761.70073634409</v>
      </c>
      <c r="F129" s="256">
        <v>7202067.1006459352</v>
      </c>
      <c r="G129" s="256">
        <v>3260991.4387952131</v>
      </c>
      <c r="H129" s="256">
        <v>84713.023926731679</v>
      </c>
      <c r="I129" s="256">
        <v>306250766.13756329</v>
      </c>
      <c r="J129" s="256">
        <v>58421547.643916026</v>
      </c>
      <c r="K129" s="256">
        <v>19004763.322292551</v>
      </c>
      <c r="L129" s="256">
        <v>264225.44263540412</v>
      </c>
      <c r="M129" s="256">
        <v>6589066.0047484376</v>
      </c>
      <c r="N129" s="256">
        <v>61016.600740900954</v>
      </c>
      <c r="O129" s="256">
        <v>39704873.060128994</v>
      </c>
      <c r="P129" s="256">
        <v>731584.28836799355</v>
      </c>
      <c r="Q129" s="256">
        <v>5176506.0926587917</v>
      </c>
      <c r="R129" s="256">
        <v>1588498.4838356269</v>
      </c>
      <c r="S129" s="256">
        <v>2041209.9231120271</v>
      </c>
      <c r="T129" s="256">
        <v>22145324.267956972</v>
      </c>
      <c r="U129" s="256">
        <v>34882428.896874815</v>
      </c>
      <c r="V129" s="256">
        <v>3199210.8167169141</v>
      </c>
      <c r="W129" s="256">
        <v>400383.7078696664</v>
      </c>
      <c r="X129" s="256">
        <v>1505568.940402722</v>
      </c>
      <c r="Y129" s="256">
        <v>1932803.7115427803</v>
      </c>
      <c r="Z129" s="256">
        <v>35215620.382978491</v>
      </c>
      <c r="AA129" s="256">
        <v>6256502.30809482</v>
      </c>
      <c r="AB129" s="256">
        <v>3289414.5735552311</v>
      </c>
      <c r="AC129" s="256">
        <v>1397755.5837774987</v>
      </c>
      <c r="AD129" s="256">
        <v>13593011.207378279</v>
      </c>
      <c r="AE129" s="256">
        <v>61209.602851803371</v>
      </c>
      <c r="AF129" s="256">
        <v>9262932.2141315229</v>
      </c>
      <c r="AG129" s="256">
        <v>1270101642.2141316</v>
      </c>
    </row>
    <row r="130" spans="1:33" x14ac:dyDescent="0.25">
      <c r="A130" s="255" t="s">
        <v>99</v>
      </c>
      <c r="B130" s="255" t="s">
        <v>256</v>
      </c>
      <c r="C130" s="256">
        <v>534079624.95129043</v>
      </c>
      <c r="D130" s="256">
        <v>55503681.42814476</v>
      </c>
      <c r="E130" s="256">
        <v>947997.76382327557</v>
      </c>
      <c r="F130" s="256">
        <v>6772987.7930739224</v>
      </c>
      <c r="G130" s="256">
        <v>3847501.9630407286</v>
      </c>
      <c r="H130" s="256">
        <v>84686.100626962507</v>
      </c>
      <c r="I130" s="256">
        <v>305684307.11128902</v>
      </c>
      <c r="J130" s="256">
        <v>57487091.62078546</v>
      </c>
      <c r="K130" s="256">
        <v>20267544.844990138</v>
      </c>
      <c r="L130" s="256">
        <v>262656.10754084174</v>
      </c>
      <c r="M130" s="256">
        <v>5364309.8457977381</v>
      </c>
      <c r="N130" s="256">
        <v>53484.565757362841</v>
      </c>
      <c r="O130" s="256">
        <v>42792379.015826859</v>
      </c>
      <c r="P130" s="256">
        <v>1152743.8094397723</v>
      </c>
      <c r="Q130" s="256">
        <v>5169411.8870038753</v>
      </c>
      <c r="R130" s="256">
        <v>486419.45369676413</v>
      </c>
      <c r="S130" s="256">
        <v>2040238.7378721572</v>
      </c>
      <c r="T130" s="256">
        <v>23339907.135264672</v>
      </c>
      <c r="U130" s="256">
        <v>34908326.522971258</v>
      </c>
      <c r="V130" s="256">
        <v>3369425.4110659617</v>
      </c>
      <c r="W130" s="256">
        <v>209315.61897396742</v>
      </c>
      <c r="X130" s="256">
        <v>1391777.1602370795</v>
      </c>
      <c r="Y130" s="256">
        <v>1075723.7029495682</v>
      </c>
      <c r="Z130" s="256">
        <v>31068682.585251063</v>
      </c>
      <c r="AA130" s="256">
        <v>7145909.6933764918</v>
      </c>
      <c r="AB130" s="256">
        <v>2711883.8721497785</v>
      </c>
      <c r="AC130" s="256">
        <v>1227660.5923184031</v>
      </c>
      <c r="AD130" s="256">
        <v>15417008.981762411</v>
      </c>
      <c r="AE130" s="256">
        <v>61178.723679336763</v>
      </c>
      <c r="AF130" s="256">
        <v>9265030.3044639826</v>
      </c>
      <c r="AG130" s="256">
        <v>1173188897.3044639</v>
      </c>
    </row>
    <row r="131" spans="1:33" x14ac:dyDescent="0.25">
      <c r="A131" s="255" t="s">
        <v>99</v>
      </c>
      <c r="B131" s="255" t="s">
        <v>257</v>
      </c>
      <c r="C131" s="256">
        <v>616046665.57948661</v>
      </c>
      <c r="D131" s="256">
        <v>88338636.100786164</v>
      </c>
      <c r="E131" s="256">
        <v>1361099.0711063449</v>
      </c>
      <c r="F131" s="256">
        <v>8697940.6252736188</v>
      </c>
      <c r="G131" s="256">
        <v>6422984.3419351019</v>
      </c>
      <c r="H131" s="256">
        <v>84632.281412140073</v>
      </c>
      <c r="I131" s="256">
        <v>330193418.16404831</v>
      </c>
      <c r="J131" s="256">
        <v>62081439.359627001</v>
      </c>
      <c r="K131" s="256">
        <v>22990658.755974106</v>
      </c>
      <c r="L131" s="256">
        <v>258917.99996481693</v>
      </c>
      <c r="M131" s="256">
        <v>4451785.2693111552</v>
      </c>
      <c r="N131" s="256">
        <v>73021.937543562701</v>
      </c>
      <c r="O131" s="256">
        <v>49557351.356025837</v>
      </c>
      <c r="P131" s="256">
        <v>1285666.5913091442</v>
      </c>
      <c r="Q131" s="256">
        <v>5183542.659791016</v>
      </c>
      <c r="R131" s="256">
        <v>286134.48821785988</v>
      </c>
      <c r="S131" s="256">
        <v>2038297.4181871638</v>
      </c>
      <c r="T131" s="256">
        <v>21979349.478653397</v>
      </c>
      <c r="U131" s="256">
        <v>35301784.848646887</v>
      </c>
      <c r="V131" s="256">
        <v>3183823.6441910155</v>
      </c>
      <c r="W131" s="256">
        <v>207426.24713016118</v>
      </c>
      <c r="X131" s="256">
        <v>1129144.550830985</v>
      </c>
      <c r="Y131" s="256">
        <v>1068290.4004299988</v>
      </c>
      <c r="Z131" s="256">
        <v>38192294.621062651</v>
      </c>
      <c r="AA131" s="256">
        <v>8602153.9148839638</v>
      </c>
      <c r="AB131" s="256">
        <v>3074252.9689044282</v>
      </c>
      <c r="AC131" s="256">
        <v>1951363.7264586685</v>
      </c>
      <c r="AD131" s="256">
        <v>13814263.58304734</v>
      </c>
      <c r="AE131" s="256">
        <v>61117.015760511902</v>
      </c>
      <c r="AF131" s="256">
        <v>9269228.5333096497</v>
      </c>
      <c r="AG131" s="256">
        <v>1337186685.5333095</v>
      </c>
    </row>
    <row r="132" spans="1:33" x14ac:dyDescent="0.25">
      <c r="A132" s="255" t="s">
        <v>99</v>
      </c>
      <c r="B132" s="255" t="s">
        <v>258</v>
      </c>
      <c r="C132" s="256">
        <v>740455142.51491868</v>
      </c>
      <c r="D132" s="256">
        <v>123348541.70420843</v>
      </c>
      <c r="E132" s="256">
        <v>1776170.3229555995</v>
      </c>
      <c r="F132" s="256">
        <v>10882804.546550285</v>
      </c>
      <c r="G132" s="256">
        <v>8614921.5121997315</v>
      </c>
      <c r="H132" s="256">
        <v>84605.399167277734</v>
      </c>
      <c r="I132" s="256">
        <v>351732967.44849908</v>
      </c>
      <c r="J132" s="256">
        <v>60316039.984049648</v>
      </c>
      <c r="K132" s="256">
        <v>24029713.253421016</v>
      </c>
      <c r="L132" s="256">
        <v>279229.35318978888</v>
      </c>
      <c r="M132" s="256">
        <v>7285204.7132999822</v>
      </c>
      <c r="N132" s="256">
        <v>97463.094605496546</v>
      </c>
      <c r="O132" s="256">
        <v>48533868.693703413</v>
      </c>
      <c r="P132" s="256">
        <v>866185.41665612359</v>
      </c>
      <c r="Q132" s="256">
        <v>5793675.44923802</v>
      </c>
      <c r="R132" s="256">
        <v>171147.78480428879</v>
      </c>
      <c r="S132" s="256">
        <v>2037327.8085332052</v>
      </c>
      <c r="T132" s="256">
        <v>23222991.080286976</v>
      </c>
      <c r="U132" s="256">
        <v>33260891.088321202</v>
      </c>
      <c r="V132" s="256">
        <v>3343865.9194452842</v>
      </c>
      <c r="W132" s="256">
        <v>243248.02627900805</v>
      </c>
      <c r="X132" s="256">
        <v>1340001.5846005308</v>
      </c>
      <c r="Y132" s="256">
        <v>1067801.8622469848</v>
      </c>
      <c r="Z132" s="256">
        <v>33614268.033943206</v>
      </c>
      <c r="AA132" s="256">
        <v>14666371.751531117</v>
      </c>
      <c r="AB132" s="256">
        <v>3392968.7776687164</v>
      </c>
      <c r="AC132" s="256">
        <v>1641808.9670220369</v>
      </c>
      <c r="AD132" s="256">
        <v>14213609.696477475</v>
      </c>
      <c r="AE132" s="256">
        <v>61086.212177444599</v>
      </c>
      <c r="AF132" s="256">
        <v>9271329.6967647728</v>
      </c>
      <c r="AG132" s="256">
        <v>1525645251.6967645</v>
      </c>
    </row>
    <row r="133" spans="1:33" x14ac:dyDescent="0.25">
      <c r="A133" s="255" t="s">
        <v>99</v>
      </c>
      <c r="B133" s="255" t="s">
        <v>259</v>
      </c>
      <c r="C133" s="256">
        <v>690949755.27471542</v>
      </c>
      <c r="D133" s="256">
        <v>126732402.50039759</v>
      </c>
      <c r="E133" s="256">
        <v>1623625.3299751421</v>
      </c>
      <c r="F133" s="256">
        <v>10577268.490681773</v>
      </c>
      <c r="G133" s="256">
        <v>8866012.873649288</v>
      </c>
      <c r="H133" s="256">
        <v>84578.530580825129</v>
      </c>
      <c r="I133" s="256">
        <v>345892194.91377729</v>
      </c>
      <c r="J133" s="256">
        <v>52822357.396919459</v>
      </c>
      <c r="K133" s="256">
        <v>21568115.608347204</v>
      </c>
      <c r="L133" s="256">
        <v>232223.91678954221</v>
      </c>
      <c r="M133" s="256">
        <v>6450728.0453003338</v>
      </c>
      <c r="N133" s="256">
        <v>78216.669961778782</v>
      </c>
      <c r="O133" s="256">
        <v>43697774.11404489</v>
      </c>
      <c r="P133" s="256">
        <v>1984110.3967774964</v>
      </c>
      <c r="Q133" s="256">
        <v>5272619.5213109432</v>
      </c>
      <c r="R133" s="256">
        <v>160939.69341977357</v>
      </c>
      <c r="S133" s="256">
        <v>2036358.7233512967</v>
      </c>
      <c r="T133" s="256">
        <v>24118907.958479322</v>
      </c>
      <c r="U133" s="256">
        <v>31215689.406879932</v>
      </c>
      <c r="V133" s="256">
        <v>3401702.7921197028</v>
      </c>
      <c r="W133" s="256">
        <v>521996.97887849639</v>
      </c>
      <c r="X133" s="256">
        <v>1488707.3178350441</v>
      </c>
      <c r="Y133" s="256">
        <v>1024569.8515978977</v>
      </c>
      <c r="Z133" s="256">
        <v>31562135.306105249</v>
      </c>
      <c r="AA133" s="256">
        <v>12959602.668954622</v>
      </c>
      <c r="AB133" s="256">
        <v>3330690.0631919391</v>
      </c>
      <c r="AC133" s="256">
        <v>1446562.427114038</v>
      </c>
      <c r="AD133" s="256">
        <v>14698799.795111461</v>
      </c>
      <c r="AE133" s="256">
        <v>61055.433732288766</v>
      </c>
      <c r="AF133" s="256">
        <v>9273431.885472849</v>
      </c>
      <c r="AG133" s="256">
        <v>1454133133.8854723</v>
      </c>
    </row>
    <row r="134" spans="1:33" x14ac:dyDescent="0.25">
      <c r="A134" s="255" t="s">
        <v>99</v>
      </c>
      <c r="B134" s="255" t="s">
        <v>260</v>
      </c>
      <c r="C134" s="256">
        <v>611080636.40504766</v>
      </c>
      <c r="D134" s="256">
        <v>110453514.56780139</v>
      </c>
      <c r="E134" s="256">
        <v>1609497.1743558655</v>
      </c>
      <c r="F134" s="256">
        <v>9373413.4748395439</v>
      </c>
      <c r="G134" s="256">
        <v>7571647.7023142679</v>
      </c>
      <c r="H134" s="256">
        <v>84551.675641425914</v>
      </c>
      <c r="I134" s="256">
        <v>325578642.61374158</v>
      </c>
      <c r="J134" s="256">
        <v>46019618.905066431</v>
      </c>
      <c r="K134" s="256">
        <v>17366777.625735544</v>
      </c>
      <c r="L134" s="256">
        <v>191773.94640871938</v>
      </c>
      <c r="M134" s="256">
        <v>4931095.3265874814</v>
      </c>
      <c r="N134" s="256">
        <v>59055.482551331828</v>
      </c>
      <c r="O134" s="256">
        <v>33755720.437941492</v>
      </c>
      <c r="P134" s="256">
        <v>852532.31135856966</v>
      </c>
      <c r="Q134" s="256">
        <v>3819962.5350914421</v>
      </c>
      <c r="R134" s="256">
        <v>101664.65318566949</v>
      </c>
      <c r="S134" s="256">
        <v>2035390.1623316985</v>
      </c>
      <c r="T134" s="256">
        <v>26466261.321552884</v>
      </c>
      <c r="U134" s="256">
        <v>34260313.684484705</v>
      </c>
      <c r="V134" s="256">
        <v>3128251.9135332266</v>
      </c>
      <c r="W134" s="256">
        <v>451936.41537722287</v>
      </c>
      <c r="X134" s="256">
        <v>1527391.3707492042</v>
      </c>
      <c r="Y134" s="256">
        <v>1054933.3529696767</v>
      </c>
      <c r="Z134" s="256">
        <v>32166558.724578068</v>
      </c>
      <c r="AA134" s="256">
        <v>12326042.345325334</v>
      </c>
      <c r="AB134" s="256">
        <v>3462080.1050141593</v>
      </c>
      <c r="AC134" s="256">
        <v>1346211.9200963047</v>
      </c>
      <c r="AD134" s="256">
        <v>7398123.1659191791</v>
      </c>
      <c r="AE134" s="256">
        <v>61024.680400001373</v>
      </c>
      <c r="AF134" s="256">
        <v>9275535.0998123456</v>
      </c>
      <c r="AG134" s="256">
        <v>1307810159.0998118</v>
      </c>
    </row>
    <row r="135" spans="1:33" x14ac:dyDescent="0.25">
      <c r="A135" s="255" t="s">
        <v>99</v>
      </c>
      <c r="B135" s="255" t="s">
        <v>261</v>
      </c>
      <c r="C135" s="256">
        <v>517642898.24553341</v>
      </c>
      <c r="D135" s="256">
        <v>81361799.618360385</v>
      </c>
      <c r="E135" s="256">
        <v>1167019.5912155174</v>
      </c>
      <c r="F135" s="256">
        <v>7483283.8432589769</v>
      </c>
      <c r="G135" s="256">
        <v>5778809.8672940461</v>
      </c>
      <c r="H135" s="256">
        <v>84524.834337738794</v>
      </c>
      <c r="I135" s="256">
        <v>288047645.47406334</v>
      </c>
      <c r="J135" s="256">
        <v>49299497.447530076</v>
      </c>
      <c r="K135" s="256">
        <v>18126189.169309683</v>
      </c>
      <c r="L135" s="256">
        <v>236656.99729148659</v>
      </c>
      <c r="M135" s="256">
        <v>5968822.4584698919</v>
      </c>
      <c r="N135" s="256">
        <v>61081.72869762576</v>
      </c>
      <c r="O135" s="256">
        <v>33889961.526261151</v>
      </c>
      <c r="P135" s="256">
        <v>599867.54106356355</v>
      </c>
      <c r="Q135" s="256">
        <v>4428375.6728756446</v>
      </c>
      <c r="R135" s="256">
        <v>364934.8592726519</v>
      </c>
      <c r="S135" s="256">
        <v>2034422.1251648846</v>
      </c>
      <c r="T135" s="256">
        <v>24678969.594306722</v>
      </c>
      <c r="U135" s="256">
        <v>32029441.422068551</v>
      </c>
      <c r="V135" s="256">
        <v>3222910.2569755777</v>
      </c>
      <c r="W135" s="256">
        <v>440226.42893719667</v>
      </c>
      <c r="X135" s="256">
        <v>672829.83067489474</v>
      </c>
      <c r="Y135" s="256">
        <v>637763.77526985318</v>
      </c>
      <c r="Z135" s="256">
        <v>30717943.599159677</v>
      </c>
      <c r="AA135" s="256">
        <v>6437404.2020094404</v>
      </c>
      <c r="AB135" s="256">
        <v>2817247.3040559199</v>
      </c>
      <c r="AC135" s="256">
        <v>1419309.5592874745</v>
      </c>
      <c r="AD135" s="256">
        <v>14514934.075099127</v>
      </c>
      <c r="AE135" s="256">
        <v>60993.952155567225</v>
      </c>
      <c r="AF135" s="256">
        <v>9277639.3401628211</v>
      </c>
      <c r="AG135" s="256">
        <v>1143503404.340163</v>
      </c>
    </row>
    <row r="136" spans="1:33" x14ac:dyDescent="0.25">
      <c r="A136" s="255" t="s">
        <v>99</v>
      </c>
      <c r="B136" s="255" t="s">
        <v>262</v>
      </c>
      <c r="C136" s="256">
        <v>474300287.58276278</v>
      </c>
      <c r="D136" s="256">
        <v>59395148.061976455</v>
      </c>
      <c r="E136" s="256">
        <v>856799.06289590616</v>
      </c>
      <c r="F136" s="256">
        <v>6441867.4687014837</v>
      </c>
      <c r="G136" s="256">
        <v>4078392.8170049782</v>
      </c>
      <c r="H136" s="256">
        <v>84498.006658439597</v>
      </c>
      <c r="I136" s="256">
        <v>263046324.30410153</v>
      </c>
      <c r="J136" s="256">
        <v>44823916.187324539</v>
      </c>
      <c r="K136" s="256">
        <v>15797346.114740249</v>
      </c>
      <c r="L136" s="256">
        <v>217402.82739257923</v>
      </c>
      <c r="M136" s="256">
        <v>5181541.6803823868</v>
      </c>
      <c r="N136" s="256">
        <v>49948.805116482588</v>
      </c>
      <c r="O136" s="256">
        <v>29629370.632030368</v>
      </c>
      <c r="P136" s="256">
        <v>513677.73242294363</v>
      </c>
      <c r="Q136" s="256">
        <v>3727454.9484595861</v>
      </c>
      <c r="R136" s="256">
        <v>1854892.1564878216</v>
      </c>
      <c r="S136" s="256">
        <v>2033454.6115415916</v>
      </c>
      <c r="T136" s="256">
        <v>23601441.057822701</v>
      </c>
      <c r="U136" s="256">
        <v>31606139.623596411</v>
      </c>
      <c r="V136" s="256">
        <v>3167003.103131752</v>
      </c>
      <c r="W136" s="256">
        <v>504552.74973192613</v>
      </c>
      <c r="X136" s="256">
        <v>1581095.823208007</v>
      </c>
      <c r="Y136" s="256">
        <v>729745.45734191011</v>
      </c>
      <c r="Z136" s="256">
        <v>31239235.118583743</v>
      </c>
      <c r="AA136" s="256">
        <v>4160815.1465023081</v>
      </c>
      <c r="AB136" s="256">
        <v>2878793.1907387222</v>
      </c>
      <c r="AC136" s="256">
        <v>1324045.6287054541</v>
      </c>
      <c r="AD136" s="256">
        <v>13568262.851663072</v>
      </c>
      <c r="AE136" s="256">
        <v>60963.248974000744</v>
      </c>
      <c r="AF136" s="256">
        <v>9279744.6069052722</v>
      </c>
      <c r="AG136" s="256">
        <v>1035734160.6069053</v>
      </c>
    </row>
    <row r="137" spans="1:33" x14ac:dyDescent="0.25">
      <c r="A137" s="255" t="s">
        <v>99</v>
      </c>
      <c r="B137" s="255" t="s">
        <v>263</v>
      </c>
      <c r="C137" s="256">
        <v>697755677.16205823</v>
      </c>
      <c r="D137" s="256">
        <v>51847797.936645582</v>
      </c>
      <c r="E137" s="256">
        <v>940973.52812940511</v>
      </c>
      <c r="F137" s="256">
        <v>7948644.1850072397</v>
      </c>
      <c r="G137" s="256">
        <v>3638030.995567264</v>
      </c>
      <c r="H137" s="256">
        <v>84471.1925922222</v>
      </c>
      <c r="I137" s="256">
        <v>299897558.35373688</v>
      </c>
      <c r="J137" s="256">
        <v>53062010.175412506</v>
      </c>
      <c r="K137" s="256">
        <v>18677531.284393445</v>
      </c>
      <c r="L137" s="256">
        <v>260683.80000136248</v>
      </c>
      <c r="M137" s="256">
        <v>5600862.3209596071</v>
      </c>
      <c r="N137" s="256">
        <v>64157.385712352829</v>
      </c>
      <c r="O137" s="256">
        <v>34619581.531668492</v>
      </c>
      <c r="P137" s="256">
        <v>976041.51116245298</v>
      </c>
      <c r="Q137" s="256">
        <v>4612166.4848262724</v>
      </c>
      <c r="R137" s="256">
        <v>491305.53097382066</v>
      </c>
      <c r="S137" s="256">
        <v>2032487.6211528436</v>
      </c>
      <c r="T137" s="256">
        <v>22729927.627631206</v>
      </c>
      <c r="U137" s="256">
        <v>32758031.566540446</v>
      </c>
      <c r="V137" s="256">
        <v>3611876.6948680803</v>
      </c>
      <c r="W137" s="256">
        <v>238723.22939945463</v>
      </c>
      <c r="X137" s="256">
        <v>1476900.3442214795</v>
      </c>
      <c r="Y137" s="256">
        <v>828242.59276691987</v>
      </c>
      <c r="Z137" s="256">
        <v>34459147.357699975</v>
      </c>
      <c r="AA137" s="256">
        <v>8860148.902433861</v>
      </c>
      <c r="AB137" s="256">
        <v>2743776.7111107679</v>
      </c>
      <c r="AC137" s="256">
        <v>1358826.227214494</v>
      </c>
      <c r="AD137" s="256">
        <v>12564814.175282927</v>
      </c>
      <c r="AE137" s="256">
        <v>60932.570830346631</v>
      </c>
      <c r="AF137" s="256">
        <v>9281850.9004221782</v>
      </c>
      <c r="AG137" s="256">
        <v>1313483179.9004228</v>
      </c>
    </row>
    <row r="138" spans="1:33" x14ac:dyDescent="0.25">
      <c r="A138" s="255" t="s">
        <v>99</v>
      </c>
      <c r="B138" s="255" t="s">
        <v>264</v>
      </c>
      <c r="C138" s="256">
        <v>1040582360.2579453</v>
      </c>
      <c r="D138" s="256">
        <v>66735483.698047854</v>
      </c>
      <c r="E138" s="256">
        <v>1187002.8396289523</v>
      </c>
      <c r="F138" s="256">
        <v>10955360.096683923</v>
      </c>
      <c r="G138" s="256">
        <v>4270458.7155662142</v>
      </c>
      <c r="H138" s="256">
        <v>84444.39212779807</v>
      </c>
      <c r="I138" s="256">
        <v>357138460.20131874</v>
      </c>
      <c r="J138" s="256">
        <v>65476951.700684525</v>
      </c>
      <c r="K138" s="256">
        <v>21861817.715652935</v>
      </c>
      <c r="L138" s="256">
        <v>346563.99339683331</v>
      </c>
      <c r="M138" s="256">
        <v>7359121.7491765684</v>
      </c>
      <c r="N138" s="256">
        <v>81478.849747925124</v>
      </c>
      <c r="O138" s="256">
        <v>45745140.688194364</v>
      </c>
      <c r="P138" s="256">
        <v>711132.54756681772</v>
      </c>
      <c r="Q138" s="256">
        <v>5847579.7417430719</v>
      </c>
      <c r="R138" s="256">
        <v>459664.65882826573</v>
      </c>
      <c r="S138" s="256">
        <v>2031521.1536899533</v>
      </c>
      <c r="T138" s="256">
        <v>24899583.868194394</v>
      </c>
      <c r="U138" s="256">
        <v>38542347.881399244</v>
      </c>
      <c r="V138" s="256">
        <v>2965371.8132087463</v>
      </c>
      <c r="W138" s="256">
        <v>-401479.19618324982</v>
      </c>
      <c r="X138" s="256">
        <v>1788994.9288562601</v>
      </c>
      <c r="Y138" s="256">
        <v>1044557.8976793556</v>
      </c>
      <c r="Z138" s="256">
        <v>36730868.577099353</v>
      </c>
      <c r="AA138" s="256">
        <v>7000894.1037457911</v>
      </c>
      <c r="AB138" s="256">
        <v>2738637.5576765654</v>
      </c>
      <c r="AC138" s="256">
        <v>1571277.180708539</v>
      </c>
      <c r="AD138" s="256">
        <v>12057358.469915314</v>
      </c>
      <c r="AE138" s="256">
        <v>60901.917699680045</v>
      </c>
      <c r="AF138" s="256">
        <v>9283958.221097447</v>
      </c>
      <c r="AG138" s="256">
        <v>1769157816.2210972</v>
      </c>
    </row>
    <row r="139" spans="1:33" x14ac:dyDescent="0.25">
      <c r="A139" s="255" t="s">
        <v>99</v>
      </c>
      <c r="B139" s="255" t="s">
        <v>265</v>
      </c>
      <c r="C139" s="256">
        <v>1180985280.0488956</v>
      </c>
      <c r="D139" s="256">
        <v>75260316.795154467</v>
      </c>
      <c r="E139" s="256">
        <v>1192846.5309945957</v>
      </c>
      <c r="F139" s="256">
        <v>12123045.252419706</v>
      </c>
      <c r="G139" s="256">
        <v>4687290.7672814932</v>
      </c>
      <c r="H139" s="256">
        <v>84417.605253895104</v>
      </c>
      <c r="I139" s="256">
        <v>406162572.98394954</v>
      </c>
      <c r="J139" s="256">
        <v>70773779.530379996</v>
      </c>
      <c r="K139" s="256">
        <v>25026837.815988164</v>
      </c>
      <c r="L139" s="256">
        <v>338201.41169508721</v>
      </c>
      <c r="M139" s="256">
        <v>7869351.1953972876</v>
      </c>
      <c r="N139" s="256">
        <v>109104.60183848928</v>
      </c>
      <c r="O139" s="256">
        <v>46367751.393022105</v>
      </c>
      <c r="P139" s="256">
        <v>554095.04987733136</v>
      </c>
      <c r="Q139" s="256">
        <v>7156230.3613296933</v>
      </c>
      <c r="R139" s="256">
        <v>716547.44767775154</v>
      </c>
      <c r="S139" s="256">
        <v>2030555.2088445064</v>
      </c>
      <c r="T139" s="256">
        <v>25537115.49453906</v>
      </c>
      <c r="U139" s="256">
        <v>38118700.817825809</v>
      </c>
      <c r="V139" s="256">
        <v>3934816.7776324614</v>
      </c>
      <c r="W139" s="256">
        <v>1091744.2379162787</v>
      </c>
      <c r="X139" s="256">
        <v>1831758.7480652609</v>
      </c>
      <c r="Y139" s="256">
        <v>2970345.1300372481</v>
      </c>
      <c r="Z139" s="256">
        <v>38874675.997644998</v>
      </c>
      <c r="AA139" s="256">
        <v>7050858.199408479</v>
      </c>
      <c r="AB139" s="256">
        <v>3982180.6013327502</v>
      </c>
      <c r="AC139" s="256">
        <v>1581688.6537722389</v>
      </c>
      <c r="AD139" s="256">
        <v>13702548.052268308</v>
      </c>
      <c r="AE139" s="256">
        <v>60871.289557106007</v>
      </c>
      <c r="AF139" s="256">
        <v>9286066.5693161692</v>
      </c>
      <c r="AG139" s="256">
        <v>1989461594.5693164</v>
      </c>
    </row>
    <row r="140" spans="1:33" x14ac:dyDescent="0.25">
      <c r="A140" s="255" t="s">
        <v>99</v>
      </c>
      <c r="B140" s="255" t="s">
        <v>266</v>
      </c>
      <c r="C140" s="256">
        <v>1018497399.5565683</v>
      </c>
      <c r="D140" s="256">
        <v>66601983.989038073</v>
      </c>
      <c r="E140" s="256">
        <v>1148371.5797452682</v>
      </c>
      <c r="F140" s="256">
        <v>10632240.078305306</v>
      </c>
      <c r="G140" s="256">
        <v>4154421.9643837176</v>
      </c>
      <c r="H140" s="256">
        <v>84390.831959255927</v>
      </c>
      <c r="I140" s="256">
        <v>360721561.8095879</v>
      </c>
      <c r="J140" s="256">
        <v>64995360.241468385</v>
      </c>
      <c r="K140" s="256">
        <v>23073205.125734925</v>
      </c>
      <c r="L140" s="256">
        <v>336406.46829268365</v>
      </c>
      <c r="M140" s="256">
        <v>7362585.5554976193</v>
      </c>
      <c r="N140" s="256">
        <v>97455.6358758282</v>
      </c>
      <c r="O140" s="256">
        <v>44766619.001105696</v>
      </c>
      <c r="P140" s="256">
        <v>546753.54126977827</v>
      </c>
      <c r="Q140" s="256">
        <v>6473007.3897033986</v>
      </c>
      <c r="R140" s="256">
        <v>609657.44515540486</v>
      </c>
      <c r="S140" s="256">
        <v>2029589.7863083307</v>
      </c>
      <c r="T140" s="256">
        <v>24961987.273820322</v>
      </c>
      <c r="U140" s="256">
        <v>35474405.647891186</v>
      </c>
      <c r="V140" s="256">
        <v>3803892.553672703</v>
      </c>
      <c r="W140" s="256">
        <v>492566.64010319696</v>
      </c>
      <c r="X140" s="256">
        <v>1794455.1153991225</v>
      </c>
      <c r="Y140" s="256">
        <v>904319.53046128713</v>
      </c>
      <c r="Z140" s="256">
        <v>37433295.826391645</v>
      </c>
      <c r="AA140" s="256">
        <v>6542383.8948141057</v>
      </c>
      <c r="AB140" s="256">
        <v>3908881.3899415885</v>
      </c>
      <c r="AC140" s="256">
        <v>1548149.9742935803</v>
      </c>
      <c r="AD140" s="256">
        <v>13923402.466833485</v>
      </c>
      <c r="AE140" s="256">
        <v>60840.686377758444</v>
      </c>
      <c r="AF140" s="256">
        <v>9288175.9454642721</v>
      </c>
      <c r="AG140" s="256">
        <v>1752267766.9454648</v>
      </c>
    </row>
    <row r="141" spans="1:33" x14ac:dyDescent="0.25">
      <c r="A141" s="255" t="s">
        <v>99</v>
      </c>
      <c r="B141" s="255" t="s">
        <v>267</v>
      </c>
      <c r="C141" s="256">
        <v>640373479.29086304</v>
      </c>
      <c r="D141" s="256">
        <v>49602058.017737545</v>
      </c>
      <c r="E141" s="256">
        <v>872127.48591126443</v>
      </c>
      <c r="F141" s="256">
        <v>7247225.3176897699</v>
      </c>
      <c r="G141" s="256">
        <v>3281669.8155657714</v>
      </c>
      <c r="H141" s="256">
        <v>84364.072232636216</v>
      </c>
      <c r="I141" s="256">
        <v>291583224.3185094</v>
      </c>
      <c r="J141" s="256">
        <v>55621500.158310324</v>
      </c>
      <c r="K141" s="256">
        <v>18096924.439253461</v>
      </c>
      <c r="L141" s="256">
        <v>251576.56797147807</v>
      </c>
      <c r="M141" s="256">
        <v>6273637.3722325191</v>
      </c>
      <c r="N141" s="256">
        <v>58093.214454574438</v>
      </c>
      <c r="O141" s="256">
        <v>37799380.819899894</v>
      </c>
      <c r="P141" s="256">
        <v>696636.77625519212</v>
      </c>
      <c r="Q141" s="256">
        <v>4929013.3553090291</v>
      </c>
      <c r="R141" s="256">
        <v>1513451.0920308242</v>
      </c>
      <c r="S141" s="256">
        <v>2028624.8857734669</v>
      </c>
      <c r="T141" s="256">
        <v>21613610.495874166</v>
      </c>
      <c r="U141" s="256">
        <v>33878145.774311483</v>
      </c>
      <c r="V141" s="256">
        <v>3099689.4213991626</v>
      </c>
      <c r="W141" s="256">
        <v>388215.40987036435</v>
      </c>
      <c r="X141" s="256">
        <v>1458729.3374270673</v>
      </c>
      <c r="Y141" s="256">
        <v>1872203.0727969015</v>
      </c>
      <c r="Z141" s="256">
        <v>34116112.068957351</v>
      </c>
      <c r="AA141" s="256">
        <v>6061952.1981633967</v>
      </c>
      <c r="AB141" s="256">
        <v>3186302.7183342627</v>
      </c>
      <c r="AC141" s="256">
        <v>1354302.932337112</v>
      </c>
      <c r="AD141" s="256">
        <v>13168717.462391941</v>
      </c>
      <c r="AE141" s="256">
        <v>60810.108136799041</v>
      </c>
      <c r="AF141" s="256">
        <v>9290286.349928217</v>
      </c>
      <c r="AG141" s="256">
        <v>1249862064.3499279</v>
      </c>
    </row>
    <row r="142" spans="1:33" x14ac:dyDescent="0.25">
      <c r="A142" s="255" t="s">
        <v>99</v>
      </c>
      <c r="B142" s="255" t="s">
        <v>268</v>
      </c>
      <c r="C142" s="256">
        <v>537858773.97688472</v>
      </c>
      <c r="D142" s="256">
        <v>55896491.935408331</v>
      </c>
      <c r="E142" s="256">
        <v>954758.06146283355</v>
      </c>
      <c r="F142" s="256">
        <v>6821152.5020854287</v>
      </c>
      <c r="G142" s="256">
        <v>3875229.1980959056</v>
      </c>
      <c r="H142" s="256">
        <v>84337.326062803346</v>
      </c>
      <c r="I142" s="256">
        <v>292226923.87484783</v>
      </c>
      <c r="J142" s="256">
        <v>54950305.605714828</v>
      </c>
      <c r="K142" s="256">
        <v>19376503.570116282</v>
      </c>
      <c r="L142" s="256">
        <v>251073.43691949116</v>
      </c>
      <c r="M142" s="256">
        <v>5127753.2523247246</v>
      </c>
      <c r="N142" s="256">
        <v>51125.828337870145</v>
      </c>
      <c r="O142" s="256">
        <v>40902198.258093372</v>
      </c>
      <c r="P142" s="256">
        <v>1101854.7148572416</v>
      </c>
      <c r="Q142" s="256">
        <v>4942308.8149855239</v>
      </c>
      <c r="R142" s="256">
        <v>464862.13687067945</v>
      </c>
      <c r="S142" s="256">
        <v>2027660.5069321366</v>
      </c>
      <c r="T142" s="256">
        <v>22796732.304853246</v>
      </c>
      <c r="U142" s="256">
        <v>33953774.330779538</v>
      </c>
      <c r="V142" s="256">
        <v>3269094.6354692937</v>
      </c>
      <c r="W142" s="256">
        <v>203548.62561613758</v>
      </c>
      <c r="X142" s="256">
        <v>1350382.4096222797</v>
      </c>
      <c r="Y142" s="256">
        <v>1043677.6838505113</v>
      </c>
      <c r="Z142" s="256">
        <v>30150020.742453251</v>
      </c>
      <c r="AA142" s="256">
        <v>6933639.7676839642</v>
      </c>
      <c r="AB142" s="256">
        <v>2631767.0978548313</v>
      </c>
      <c r="AC142" s="256">
        <v>1191642.9206221183</v>
      </c>
      <c r="AD142" s="256">
        <v>14961162.926385419</v>
      </c>
      <c r="AE142" s="256">
        <v>60779.554809416317</v>
      </c>
      <c r="AF142" s="256">
        <v>9292397.7830947842</v>
      </c>
      <c r="AG142" s="256">
        <v>1154751933.7830944</v>
      </c>
    </row>
    <row r="143" spans="1:33" x14ac:dyDescent="0.25">
      <c r="A143" s="255" t="s">
        <v>99</v>
      </c>
      <c r="B143" s="255" t="s">
        <v>269</v>
      </c>
      <c r="C143" s="256">
        <v>620224781.42152703</v>
      </c>
      <c r="D143" s="256">
        <v>88934120.374084577</v>
      </c>
      <c r="E143" s="256">
        <v>1370335.1253334237</v>
      </c>
      <c r="F143" s="256">
        <v>8757031.9692480676</v>
      </c>
      <c r="G143" s="256">
        <v>6466511.2489925073</v>
      </c>
      <c r="H143" s="256">
        <v>84283.860814328989</v>
      </c>
      <c r="I143" s="256">
        <v>317191894.29796618</v>
      </c>
      <c r="J143" s="256">
        <v>59628949.32453879</v>
      </c>
      <c r="K143" s="256">
        <v>22084237.57861881</v>
      </c>
      <c r="L143" s="256">
        <v>248679.21315035922</v>
      </c>
      <c r="M143" s="256">
        <v>4275741.5785580454</v>
      </c>
      <c r="N143" s="256">
        <v>70127.883069297444</v>
      </c>
      <c r="O143" s="256">
        <v>47597370.235829383</v>
      </c>
      <c r="P143" s="256">
        <v>1234716.3107490472</v>
      </c>
      <c r="Q143" s="256">
        <v>4979466.5022582496</v>
      </c>
      <c r="R143" s="256">
        <v>274762.28323954286</v>
      </c>
      <c r="S143" s="256">
        <v>2025732.7920223502</v>
      </c>
      <c r="T143" s="256">
        <v>21505638.537590403</v>
      </c>
      <c r="U143" s="256">
        <v>34383675.466785505</v>
      </c>
      <c r="V143" s="256">
        <v>3094572.244490305</v>
      </c>
      <c r="W143" s="256">
        <v>202034.55817520941</v>
      </c>
      <c r="X143" s="256">
        <v>1097786.806085957</v>
      </c>
      <c r="Y143" s="256">
        <v>1038097.3203192843</v>
      </c>
      <c r="Z143" s="256">
        <v>37115967.810595855</v>
      </c>
      <c r="AA143" s="256">
        <v>8355320.3030178454</v>
      </c>
      <c r="AB143" s="256">
        <v>2987628.9531841706</v>
      </c>
      <c r="AC143" s="256">
        <v>1896540.4333407511</v>
      </c>
      <c r="AD143" s="256">
        <v>13424547.068482442</v>
      </c>
      <c r="AE143" s="256">
        <v>60718.497932267448</v>
      </c>
      <c r="AF143" s="256">
        <v>9296622.7076190561</v>
      </c>
      <c r="AG143" s="256">
        <v>1319907892.707619</v>
      </c>
    </row>
  </sheetData>
  <mergeCells count="6">
    <mergeCell ref="AG1:AG2"/>
    <mergeCell ref="A1:A2"/>
    <mergeCell ref="B1:B2"/>
    <mergeCell ref="C1:H1"/>
    <mergeCell ref="I1:S1"/>
    <mergeCell ref="T1:A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4E1C2-208F-4AFD-80FE-4B7C8BAD75C8}">
  <sheetPr>
    <tabColor rgb="FF0000FF"/>
  </sheetPr>
  <dimension ref="A1:AJ355"/>
  <sheetViews>
    <sheetView zoomScale="110" workbookViewId="0">
      <selection activeCell="A41" sqref="A41"/>
    </sheetView>
  </sheetViews>
  <sheetFormatPr defaultRowHeight="15" x14ac:dyDescent="0.25"/>
  <cols>
    <col min="1" max="1" width="12.85546875" customWidth="1"/>
    <col min="2" max="2" width="13.7109375" customWidth="1"/>
    <col min="3" max="3" width="15.28515625" customWidth="1"/>
    <col min="4" max="4" width="16" customWidth="1"/>
    <col min="5" max="5" width="16.28515625" customWidth="1"/>
    <col min="6" max="6" width="16.7109375" customWidth="1"/>
    <col min="7" max="7" width="14.28515625" customWidth="1"/>
    <col min="8" max="8" width="15.140625" customWidth="1"/>
    <col min="9" max="9" width="14.7109375" customWidth="1"/>
    <col min="10" max="10" width="14.28515625" style="2" customWidth="1"/>
    <col min="11" max="12" width="15.42578125" bestFit="1" customWidth="1"/>
    <col min="13" max="14" width="15.7109375" customWidth="1"/>
    <col min="15" max="15" width="17" style="2" customWidth="1"/>
    <col min="16" max="16" width="14.28515625" style="2" customWidth="1"/>
    <col min="17" max="17" width="15.28515625" style="2" customWidth="1"/>
    <col min="18" max="18" width="14.7109375" style="2" customWidth="1"/>
    <col min="19" max="19" width="15.42578125" style="2" bestFit="1" customWidth="1"/>
    <col min="20" max="20" width="9.140625" style="2"/>
    <col min="21" max="21" width="12.28515625" style="2" bestFit="1" customWidth="1"/>
    <col min="22" max="22" width="15.7109375" style="2" customWidth="1"/>
    <col min="25" max="26" width="14.42578125" bestFit="1" customWidth="1"/>
    <col min="31" max="31" width="12.5703125" bestFit="1" customWidth="1"/>
    <col min="32" max="33" width="13.42578125" bestFit="1" customWidth="1"/>
    <col min="34" max="34" width="16" bestFit="1" customWidth="1"/>
    <col min="35" max="36" width="13.42578125" bestFit="1" customWidth="1"/>
  </cols>
  <sheetData>
    <row r="1" spans="1:36" ht="15.75" x14ac:dyDescent="0.25">
      <c r="G1" s="23"/>
    </row>
    <row r="2" spans="1:36" ht="18.75" x14ac:dyDescent="0.3">
      <c r="A2" s="79" t="s">
        <v>95</v>
      </c>
      <c r="G2" s="14"/>
      <c r="N2" s="76"/>
      <c r="R2" s="80"/>
    </row>
    <row r="3" spans="1:36" ht="18.75" x14ac:dyDescent="0.3">
      <c r="A3" s="79" t="s">
        <v>276</v>
      </c>
      <c r="G3" s="15"/>
      <c r="H3" s="14"/>
      <c r="N3" s="81"/>
      <c r="R3" s="82"/>
    </row>
    <row r="4" spans="1:36" ht="18.75" x14ac:dyDescent="0.3">
      <c r="A4" s="79" t="s">
        <v>277</v>
      </c>
      <c r="G4" s="15"/>
      <c r="H4" s="14"/>
      <c r="N4" s="8"/>
      <c r="R4" s="83"/>
    </row>
    <row r="5" spans="1:36" ht="19.5" thickBot="1" x14ac:dyDescent="0.35">
      <c r="A5" s="79" t="s">
        <v>278</v>
      </c>
      <c r="N5" s="8"/>
      <c r="O5" s="83"/>
      <c r="P5" s="83"/>
      <c r="Q5" s="83"/>
      <c r="R5" s="83"/>
      <c r="S5" s="84"/>
    </row>
    <row r="6" spans="1:36" ht="15.75" x14ac:dyDescent="0.25">
      <c r="A6" s="85" t="s">
        <v>279</v>
      </c>
      <c r="B6" s="86"/>
      <c r="C6" s="87"/>
      <c r="D6" s="88" t="s">
        <v>280</v>
      </c>
      <c r="E6" s="88">
        <v>10</v>
      </c>
      <c r="G6" s="14"/>
      <c r="H6" s="14"/>
      <c r="J6" s="83"/>
      <c r="N6" s="89"/>
      <c r="O6" s="83"/>
      <c r="P6" s="83"/>
      <c r="Q6" s="83"/>
      <c r="AE6" s="8"/>
      <c r="AF6" s="13"/>
      <c r="AG6" s="13"/>
      <c r="AH6" s="13"/>
      <c r="AI6" s="13"/>
      <c r="AJ6" s="13"/>
    </row>
    <row r="7" spans="1:36" ht="15.75" x14ac:dyDescent="0.25">
      <c r="A7" s="90" t="s">
        <v>281</v>
      </c>
      <c r="B7" s="90"/>
      <c r="D7" s="91"/>
      <c r="E7" s="92">
        <v>7.7812216821069235E-3</v>
      </c>
      <c r="G7" s="13"/>
      <c r="H7" s="15"/>
      <c r="J7" s="83"/>
      <c r="N7" s="14"/>
      <c r="O7" s="83"/>
      <c r="P7" s="83"/>
      <c r="Q7" s="83"/>
      <c r="AE7" s="8"/>
      <c r="AF7" s="13"/>
      <c r="AG7" s="13"/>
      <c r="AH7" s="13"/>
      <c r="AI7" s="13"/>
      <c r="AJ7" s="13"/>
    </row>
    <row r="8" spans="1:36" ht="15.75" thickBot="1" x14ac:dyDescent="0.3">
      <c r="A8" s="93" t="s">
        <v>282</v>
      </c>
      <c r="B8" s="93"/>
      <c r="C8" s="94"/>
      <c r="D8" s="95"/>
      <c r="E8" s="96">
        <v>0.28110000000000002</v>
      </c>
      <c r="O8" s="83"/>
      <c r="P8" s="83"/>
      <c r="Q8" s="83"/>
      <c r="AE8" s="8"/>
      <c r="AF8" s="13"/>
      <c r="AG8" s="13"/>
      <c r="AH8" s="13"/>
      <c r="AI8" s="13"/>
      <c r="AJ8" s="13"/>
    </row>
    <row r="9" spans="1:36" x14ac:dyDescent="0.25">
      <c r="C9" s="89"/>
      <c r="AE9" s="8"/>
      <c r="AF9" s="13"/>
      <c r="AG9" s="13"/>
      <c r="AH9" s="13"/>
      <c r="AI9" s="13"/>
      <c r="AJ9" s="13"/>
    </row>
    <row r="10" spans="1:36" x14ac:dyDescent="0.25">
      <c r="B10" s="97">
        <v>-1</v>
      </c>
      <c r="C10" s="97">
        <v>-2</v>
      </c>
      <c r="D10" s="97">
        <v>-3</v>
      </c>
      <c r="E10" s="97">
        <v>-4</v>
      </c>
      <c r="F10" s="97">
        <v>-5</v>
      </c>
      <c r="G10" s="97">
        <v>-6</v>
      </c>
      <c r="H10" s="97">
        <v>-7</v>
      </c>
      <c r="I10" s="97">
        <v>-8</v>
      </c>
      <c r="J10" s="97">
        <v>-9</v>
      </c>
      <c r="K10" s="97">
        <v>-10</v>
      </c>
      <c r="L10" s="97">
        <v>-11</v>
      </c>
      <c r="M10" s="97">
        <v>-12</v>
      </c>
      <c r="N10" s="97">
        <v>-13</v>
      </c>
      <c r="O10" s="97">
        <v>-14</v>
      </c>
      <c r="P10" s="97">
        <v>-15</v>
      </c>
      <c r="Q10" s="97">
        <v>-16</v>
      </c>
      <c r="R10" s="97">
        <v>-17</v>
      </c>
      <c r="S10" s="97">
        <v>-18</v>
      </c>
      <c r="AE10" s="8"/>
      <c r="AF10" s="8"/>
      <c r="AG10" s="8"/>
      <c r="AH10" s="8"/>
      <c r="AI10" s="8"/>
      <c r="AJ10" s="8"/>
    </row>
    <row r="11" spans="1:36" x14ac:dyDescent="0.25">
      <c r="J11"/>
      <c r="K11" s="2"/>
      <c r="N11" s="2" t="s">
        <v>58</v>
      </c>
      <c r="O11" s="2" t="s">
        <v>50</v>
      </c>
    </row>
    <row r="12" spans="1:36" s="44" customFormat="1" ht="15.75" x14ac:dyDescent="0.25">
      <c r="A12" s="2"/>
      <c r="B12" s="2"/>
      <c r="C12" s="2"/>
      <c r="D12" s="2" t="s">
        <v>15</v>
      </c>
      <c r="E12" s="2"/>
      <c r="F12"/>
      <c r="G12" s="2" t="s">
        <v>28</v>
      </c>
      <c r="H12" s="2" t="s">
        <v>283</v>
      </c>
      <c r="I12"/>
      <c r="J12"/>
      <c r="K12" s="2"/>
      <c r="L12" s="2" t="s">
        <v>284</v>
      </c>
      <c r="M12"/>
      <c r="N12" s="2" t="s">
        <v>29</v>
      </c>
      <c r="O12" s="2" t="s">
        <v>29</v>
      </c>
      <c r="P12" s="2"/>
      <c r="Q12" s="2"/>
      <c r="R12" s="2"/>
      <c r="S12" s="2"/>
      <c r="T12" s="2"/>
      <c r="U12" s="2"/>
      <c r="V12" s="2"/>
    </row>
    <row r="13" spans="1:36" s="44" customFormat="1" ht="15.75" x14ac:dyDescent="0.25">
      <c r="A13" s="2" t="s">
        <v>285</v>
      </c>
      <c r="B13" s="2" t="s">
        <v>28</v>
      </c>
      <c r="C13" s="2" t="s">
        <v>283</v>
      </c>
      <c r="D13" s="2" t="s">
        <v>286</v>
      </c>
      <c r="E13" s="2" t="s">
        <v>310</v>
      </c>
      <c r="F13" s="2" t="s">
        <v>27</v>
      </c>
      <c r="G13" s="2" t="s">
        <v>287</v>
      </c>
      <c r="H13" s="2" t="s">
        <v>288</v>
      </c>
      <c r="I13" s="2" t="s">
        <v>29</v>
      </c>
      <c r="J13" s="2" t="s">
        <v>40</v>
      </c>
      <c r="K13" s="2" t="s">
        <v>33</v>
      </c>
      <c r="L13" s="98" t="s">
        <v>38</v>
      </c>
      <c r="M13" s="2" t="s">
        <v>34</v>
      </c>
      <c r="N13" s="2" t="s">
        <v>34</v>
      </c>
      <c r="O13" s="2" t="s">
        <v>34</v>
      </c>
      <c r="P13" s="2" t="s">
        <v>63</v>
      </c>
      <c r="Q13" s="2" t="s">
        <v>41</v>
      </c>
      <c r="R13" s="2" t="s">
        <v>289</v>
      </c>
      <c r="S13" s="2" t="s">
        <v>43</v>
      </c>
      <c r="T13" s="2"/>
      <c r="U13" s="2"/>
      <c r="V13"/>
    </row>
    <row r="14" spans="1:36" s="44" customFormat="1" ht="15.75" x14ac:dyDescent="0.25">
      <c r="A14" s="2" t="s">
        <v>21</v>
      </c>
      <c r="B14" s="2" t="s">
        <v>287</v>
      </c>
      <c r="C14" s="2" t="s">
        <v>288</v>
      </c>
      <c r="D14" s="2" t="s">
        <v>290</v>
      </c>
      <c r="E14" s="2" t="s">
        <v>291</v>
      </c>
      <c r="F14" s="2" t="s">
        <v>290</v>
      </c>
      <c r="G14" s="2" t="s">
        <v>38</v>
      </c>
      <c r="H14" s="2" t="s">
        <v>38</v>
      </c>
      <c r="I14" s="2" t="s">
        <v>38</v>
      </c>
      <c r="J14" s="2" t="s">
        <v>290</v>
      </c>
      <c r="K14" s="98" t="s">
        <v>38</v>
      </c>
      <c r="L14" s="2" t="s">
        <v>292</v>
      </c>
      <c r="M14" s="2" t="s">
        <v>293</v>
      </c>
      <c r="N14" s="2" t="s">
        <v>293</v>
      </c>
      <c r="O14" s="2" t="s">
        <v>293</v>
      </c>
      <c r="P14" s="2" t="s">
        <v>294</v>
      </c>
      <c r="Q14" s="2" t="s">
        <v>46</v>
      </c>
      <c r="R14" s="2" t="s">
        <v>295</v>
      </c>
      <c r="S14" s="2" t="s">
        <v>296</v>
      </c>
      <c r="T14" s="2"/>
      <c r="U14" s="2"/>
      <c r="V14" s="2" t="s">
        <v>56</v>
      </c>
    </row>
    <row r="15" spans="1:36" s="44" customFormat="1" ht="15.75" x14ac:dyDescent="0.25">
      <c r="A15" s="2"/>
      <c r="B15" s="2" t="s">
        <v>297</v>
      </c>
      <c r="C15" s="2" t="s">
        <v>297</v>
      </c>
      <c r="D15" s="2" t="s">
        <v>297</v>
      </c>
      <c r="E15" s="2" t="s">
        <v>297</v>
      </c>
      <c r="F15" s="2" t="s">
        <v>297</v>
      </c>
      <c r="G15" s="2" t="s">
        <v>298</v>
      </c>
      <c r="H15" s="2" t="s">
        <v>298</v>
      </c>
      <c r="I15" s="2" t="s">
        <v>298</v>
      </c>
      <c r="J15" s="2" t="s">
        <v>299</v>
      </c>
      <c r="K15" s="2" t="s">
        <v>300</v>
      </c>
      <c r="L15" s="2" t="s">
        <v>301</v>
      </c>
      <c r="M15" s="2" t="s">
        <v>302</v>
      </c>
      <c r="N15" s="2" t="s">
        <v>303</v>
      </c>
      <c r="O15" s="2" t="s">
        <v>304</v>
      </c>
      <c r="P15" s="2" t="s">
        <v>305</v>
      </c>
      <c r="Q15" s="2" t="s">
        <v>306</v>
      </c>
      <c r="R15" s="2" t="s">
        <v>307</v>
      </c>
      <c r="S15" s="2" t="s">
        <v>308</v>
      </c>
      <c r="T15" s="2"/>
      <c r="U15" s="2"/>
      <c r="V15" s="2" t="s">
        <v>45</v>
      </c>
    </row>
    <row r="16" spans="1:36" s="44" customFormat="1" ht="15.75" x14ac:dyDescent="0.25">
      <c r="A16"/>
      <c r="B16"/>
      <c r="C16"/>
      <c r="D16"/>
      <c r="E16"/>
      <c r="F16"/>
      <c r="G16"/>
      <c r="H16"/>
      <c r="I16"/>
      <c r="J16"/>
      <c r="K16" s="2"/>
      <c r="L16"/>
      <c r="M16"/>
      <c r="N16"/>
      <c r="O16"/>
      <c r="P16" s="2"/>
      <c r="Q16" s="2"/>
      <c r="R16" s="2"/>
      <c r="S16" s="2"/>
      <c r="T16" s="2"/>
      <c r="U16" s="2"/>
      <c r="V16" s="2"/>
    </row>
    <row r="17" spans="1:26" s="44" customFormat="1" ht="15.75" hidden="1" x14ac:dyDescent="0.25">
      <c r="A17" s="5">
        <v>45474</v>
      </c>
      <c r="B17" s="99">
        <v>0</v>
      </c>
      <c r="C17" s="99">
        <v>0</v>
      </c>
      <c r="D17" s="99">
        <v>0</v>
      </c>
      <c r="E17" s="99"/>
      <c r="F17" s="99">
        <v>0</v>
      </c>
      <c r="G17" s="99">
        <v>0</v>
      </c>
      <c r="H17" s="100">
        <v>0</v>
      </c>
      <c r="I17" s="8">
        <v>0</v>
      </c>
      <c r="J17" s="8">
        <v>0</v>
      </c>
      <c r="K17" s="8">
        <v>0</v>
      </c>
      <c r="L17" s="8">
        <v>0</v>
      </c>
      <c r="M17" s="99">
        <v>0</v>
      </c>
      <c r="N17" s="99">
        <v>0</v>
      </c>
      <c r="O17" s="99">
        <v>0</v>
      </c>
      <c r="P17" s="101">
        <v>0</v>
      </c>
      <c r="Q17" s="101">
        <v>0</v>
      </c>
      <c r="R17" s="101">
        <v>0</v>
      </c>
      <c r="S17" s="102">
        <v>0</v>
      </c>
      <c r="T17" s="1"/>
      <c r="U17" s="1"/>
      <c r="V17" s="103">
        <v>0</v>
      </c>
      <c r="Z17" s="47"/>
    </row>
    <row r="18" spans="1:26" s="44" customFormat="1" ht="15.75" hidden="1" x14ac:dyDescent="0.25">
      <c r="A18" s="5">
        <v>45505</v>
      </c>
      <c r="B18" s="100">
        <v>0</v>
      </c>
      <c r="C18" s="100">
        <v>0</v>
      </c>
      <c r="D18" s="100">
        <v>0</v>
      </c>
      <c r="E18" s="100"/>
      <c r="F18" s="99">
        <v>0</v>
      </c>
      <c r="G18" s="100">
        <v>0</v>
      </c>
      <c r="H18" s="100">
        <v>0</v>
      </c>
      <c r="I18" s="100">
        <v>0</v>
      </c>
      <c r="J18" s="8">
        <v>0</v>
      </c>
      <c r="K18" s="8">
        <v>0</v>
      </c>
      <c r="L18" s="8">
        <v>0</v>
      </c>
      <c r="M18" s="100">
        <v>0</v>
      </c>
      <c r="N18" s="100">
        <v>0</v>
      </c>
      <c r="O18" s="100">
        <v>0</v>
      </c>
      <c r="P18" s="103">
        <v>0</v>
      </c>
      <c r="Q18" s="103">
        <v>0</v>
      </c>
      <c r="R18" s="103">
        <v>0</v>
      </c>
      <c r="S18" s="103">
        <v>0</v>
      </c>
      <c r="T18" s="1"/>
      <c r="U18" s="1"/>
      <c r="V18" s="103">
        <v>0</v>
      </c>
      <c r="Z18" s="47"/>
    </row>
    <row r="19" spans="1:26" s="44" customFormat="1" ht="15.75" hidden="1" x14ac:dyDescent="0.25">
      <c r="A19" s="104">
        <v>45536</v>
      </c>
      <c r="B19" s="105">
        <v>0</v>
      </c>
      <c r="C19" s="105">
        <v>0</v>
      </c>
      <c r="D19" s="105">
        <v>0</v>
      </c>
      <c r="E19" s="105"/>
      <c r="F19" s="106">
        <v>0</v>
      </c>
      <c r="G19" s="105">
        <v>0</v>
      </c>
      <c r="H19" s="105">
        <v>0</v>
      </c>
      <c r="I19" s="105">
        <v>0</v>
      </c>
      <c r="J19" s="107">
        <v>0</v>
      </c>
      <c r="K19" s="107">
        <v>0</v>
      </c>
      <c r="L19" s="107">
        <v>0</v>
      </c>
      <c r="M19" s="105">
        <v>0</v>
      </c>
      <c r="N19" s="105">
        <v>0</v>
      </c>
      <c r="O19" s="105">
        <v>0</v>
      </c>
      <c r="P19" s="108">
        <v>0</v>
      </c>
      <c r="Q19" s="108">
        <v>0</v>
      </c>
      <c r="R19" s="108">
        <v>0</v>
      </c>
      <c r="S19" s="108">
        <v>0</v>
      </c>
      <c r="T19" s="1"/>
      <c r="U19" s="1"/>
      <c r="V19" s="108">
        <v>0</v>
      </c>
      <c r="Z19" s="47"/>
    </row>
    <row r="20" spans="1:26" s="44" customFormat="1" ht="15.75" hidden="1" x14ac:dyDescent="0.25">
      <c r="A20" s="5">
        <v>45566</v>
      </c>
      <c r="B20" s="100">
        <v>0</v>
      </c>
      <c r="C20" s="100">
        <v>0</v>
      </c>
      <c r="D20" s="100">
        <v>0</v>
      </c>
      <c r="E20" s="100"/>
      <c r="F20" s="99">
        <v>0</v>
      </c>
      <c r="G20" s="100">
        <v>0</v>
      </c>
      <c r="H20" s="100">
        <v>0</v>
      </c>
      <c r="I20" s="100">
        <v>0</v>
      </c>
      <c r="J20" s="8">
        <v>0</v>
      </c>
      <c r="K20" s="8">
        <v>0</v>
      </c>
      <c r="L20" s="8">
        <v>0</v>
      </c>
      <c r="M20" s="100">
        <v>0</v>
      </c>
      <c r="N20" s="100">
        <v>0</v>
      </c>
      <c r="O20" s="100">
        <v>0</v>
      </c>
      <c r="P20" s="103">
        <v>0</v>
      </c>
      <c r="Q20" s="103">
        <v>0</v>
      </c>
      <c r="R20" s="103">
        <v>0</v>
      </c>
      <c r="S20" s="103">
        <v>0</v>
      </c>
      <c r="T20" s="1"/>
      <c r="U20" s="1"/>
      <c r="V20" s="103">
        <v>0</v>
      </c>
      <c r="Z20" s="47"/>
    </row>
    <row r="21" spans="1:26" s="44" customFormat="1" ht="15.75" hidden="1" x14ac:dyDescent="0.25">
      <c r="A21" s="5">
        <v>45597</v>
      </c>
      <c r="B21" s="100">
        <v>0</v>
      </c>
      <c r="C21" s="100">
        <v>0</v>
      </c>
      <c r="D21" s="100">
        <v>0</v>
      </c>
      <c r="E21" s="100"/>
      <c r="F21" s="99">
        <v>0</v>
      </c>
      <c r="G21" s="100">
        <v>0</v>
      </c>
      <c r="H21" s="100">
        <v>0</v>
      </c>
      <c r="I21" s="100">
        <v>0</v>
      </c>
      <c r="J21" s="8">
        <v>0</v>
      </c>
      <c r="K21" s="8">
        <v>0</v>
      </c>
      <c r="L21" s="8">
        <v>0</v>
      </c>
      <c r="M21" s="100">
        <v>0</v>
      </c>
      <c r="N21" s="100">
        <v>0</v>
      </c>
      <c r="O21" s="100">
        <v>0</v>
      </c>
      <c r="P21" s="103">
        <v>0</v>
      </c>
      <c r="Q21" s="103">
        <v>0</v>
      </c>
      <c r="R21" s="103">
        <v>0</v>
      </c>
      <c r="S21" s="103">
        <v>0</v>
      </c>
      <c r="T21" s="1"/>
      <c r="U21" s="1"/>
      <c r="V21" s="103">
        <v>0</v>
      </c>
      <c r="Z21" s="47"/>
    </row>
    <row r="22" spans="1:26" s="44" customFormat="1" ht="15.75" hidden="1" x14ac:dyDescent="0.25">
      <c r="A22" s="104">
        <v>45627</v>
      </c>
      <c r="B22" s="105">
        <v>0</v>
      </c>
      <c r="C22" s="105">
        <v>0</v>
      </c>
      <c r="D22" s="105">
        <v>0</v>
      </c>
      <c r="E22" s="105"/>
      <c r="F22" s="106">
        <v>0</v>
      </c>
      <c r="G22" s="105">
        <v>0</v>
      </c>
      <c r="H22" s="105">
        <v>0</v>
      </c>
      <c r="I22" s="105">
        <v>0</v>
      </c>
      <c r="J22" s="107">
        <v>0</v>
      </c>
      <c r="K22" s="107">
        <v>0</v>
      </c>
      <c r="L22" s="107">
        <v>0</v>
      </c>
      <c r="M22" s="105">
        <v>0</v>
      </c>
      <c r="N22" s="105">
        <v>0</v>
      </c>
      <c r="O22" s="105">
        <v>0</v>
      </c>
      <c r="P22" s="108">
        <v>0</v>
      </c>
      <c r="Q22" s="108">
        <v>0</v>
      </c>
      <c r="R22" s="108">
        <v>0</v>
      </c>
      <c r="S22" s="108">
        <v>0</v>
      </c>
      <c r="T22" s="1"/>
      <c r="U22" s="1"/>
      <c r="V22" s="108">
        <v>0</v>
      </c>
      <c r="Z22" s="47"/>
    </row>
    <row r="23" spans="1:26" s="44" customFormat="1" ht="15.75" x14ac:dyDescent="0.25">
      <c r="A23" s="121">
        <v>45658</v>
      </c>
      <c r="B23" s="77">
        <v>17370174.668292839</v>
      </c>
      <c r="C23" s="77">
        <v>6212274.5850696443</v>
      </c>
      <c r="D23" s="77">
        <v>23582449.253362484</v>
      </c>
      <c r="E23" s="77">
        <v>2746583.6020700559</v>
      </c>
      <c r="F23" s="77">
        <v>26329032.85543254</v>
      </c>
      <c r="G23" s="77">
        <v>144751.455569107</v>
      </c>
      <c r="H23" s="77">
        <v>51768.95487558037</v>
      </c>
      <c r="I23" s="77">
        <v>196520.41044468735</v>
      </c>
      <c r="J23" s="77">
        <v>26132512.444987852</v>
      </c>
      <c r="K23" s="77">
        <v>26329032.85543254</v>
      </c>
      <c r="L23" s="77">
        <v>2943104.012514743</v>
      </c>
      <c r="M23" s="77">
        <v>6573784.5977441929</v>
      </c>
      <c r="N23" s="77">
        <v>0</v>
      </c>
      <c r="O23" s="77">
        <v>6573784.5977441929</v>
      </c>
      <c r="P23" s="122">
        <v>19558727.847243659</v>
      </c>
      <c r="Q23" s="122">
        <v>152190.79719940084</v>
      </c>
      <c r="R23" s="122">
        <v>1319174.6101382643</v>
      </c>
      <c r="S23" s="122">
        <v>1667885.8177823524</v>
      </c>
      <c r="T23" s="1"/>
      <c r="U23" s="1"/>
      <c r="V23" s="103">
        <v>40230.751522704326</v>
      </c>
      <c r="Z23" s="47"/>
    </row>
    <row r="24" spans="1:26" s="44" customFormat="1" ht="15.75" x14ac:dyDescent="0.25">
      <c r="A24" s="121">
        <v>45689</v>
      </c>
      <c r="B24" s="78">
        <v>17370174.668292839</v>
      </c>
      <c r="C24" s="78">
        <v>6212274.5850696443</v>
      </c>
      <c r="D24" s="78">
        <v>23582449.253362484</v>
      </c>
      <c r="E24" s="78">
        <v>5447390.8107722783</v>
      </c>
      <c r="F24" s="77">
        <v>52612289.317497246</v>
      </c>
      <c r="G24" s="78">
        <v>289502.911138214</v>
      </c>
      <c r="H24" s="78">
        <v>103537.90975116074</v>
      </c>
      <c r="I24" s="78">
        <v>589561.23133406206</v>
      </c>
      <c r="J24" s="123">
        <v>52022728.086163186</v>
      </c>
      <c r="K24" s="123">
        <v>29029840.064134762</v>
      </c>
      <c r="L24" s="123">
        <v>5840431.6316616535</v>
      </c>
      <c r="M24" s="78">
        <v>6518542.7103681909</v>
      </c>
      <c r="N24" s="78">
        <v>6573784.5977441929</v>
      </c>
      <c r="O24" s="78">
        <v>13092327.308112383</v>
      </c>
      <c r="P24" s="124">
        <v>38930400.778050803</v>
      </c>
      <c r="Q24" s="124">
        <v>302926.07862728112</v>
      </c>
      <c r="R24" s="124">
        <v>1319174.6101382643</v>
      </c>
      <c r="S24" s="124">
        <v>2015141.5096549201</v>
      </c>
      <c r="T24" s="1"/>
      <c r="U24" s="1"/>
      <c r="V24" s="103">
        <v>80076.745921988782</v>
      </c>
      <c r="Z24" s="47"/>
    </row>
    <row r="25" spans="1:26" s="44" customFormat="1" ht="15.75" x14ac:dyDescent="0.25">
      <c r="A25" s="125">
        <v>45717</v>
      </c>
      <c r="B25" s="126">
        <v>17370174.668292839</v>
      </c>
      <c r="C25" s="126">
        <v>6212274.5850696443</v>
      </c>
      <c r="D25" s="126">
        <v>23582449.253362484</v>
      </c>
      <c r="E25" s="126">
        <v>8102421.6261066664</v>
      </c>
      <c r="F25" s="127">
        <v>78849769.386194125</v>
      </c>
      <c r="G25" s="126">
        <v>434254.36670732097</v>
      </c>
      <c r="H25" s="126">
        <v>155306.86462674109</v>
      </c>
      <c r="I25" s="126">
        <v>1179122.4626681241</v>
      </c>
      <c r="J25" s="128">
        <v>77670646.923525989</v>
      </c>
      <c r="K25" s="128">
        <v>31684870.879469149</v>
      </c>
      <c r="L25" s="128">
        <v>8691982.8574407287</v>
      </c>
      <c r="M25" s="126">
        <v>6463300.8229921889</v>
      </c>
      <c r="N25" s="126">
        <v>13092327.308112383</v>
      </c>
      <c r="O25" s="126">
        <v>19555628.131104574</v>
      </c>
      <c r="P25" s="129">
        <v>58115018.792421415</v>
      </c>
      <c r="Q25" s="129">
        <v>452205.84428364085</v>
      </c>
      <c r="R25" s="129">
        <v>1319174.6101382643</v>
      </c>
      <c r="S25" s="129">
        <v>2360941.6857559672</v>
      </c>
      <c r="T25" s="1"/>
      <c r="U25" s="1"/>
      <c r="V25" s="108">
        <v>119537.98319785332</v>
      </c>
      <c r="Z25" s="47"/>
    </row>
    <row r="26" spans="1:26" s="44" customFormat="1" ht="15.75" x14ac:dyDescent="0.25">
      <c r="A26" s="121">
        <v>45748</v>
      </c>
      <c r="B26" s="78">
        <v>17370174.668292839</v>
      </c>
      <c r="C26" s="78">
        <v>6212274.5850696443</v>
      </c>
      <c r="D26" s="78">
        <v>23582449.253362484</v>
      </c>
      <c r="E26" s="78">
        <v>10711676.048073221</v>
      </c>
      <c r="F26" s="77">
        <v>105041473.06152315</v>
      </c>
      <c r="G26" s="78">
        <v>579005.82227642799</v>
      </c>
      <c r="H26" s="78">
        <v>207075.81950232148</v>
      </c>
      <c r="I26" s="78">
        <v>1965204.1044468735</v>
      </c>
      <c r="J26" s="123">
        <v>103076268.95707627</v>
      </c>
      <c r="K26" s="123">
        <v>34294125.301435709</v>
      </c>
      <c r="L26" s="123">
        <v>11497757.689851969</v>
      </c>
      <c r="M26" s="78">
        <v>6408058.9356161896</v>
      </c>
      <c r="N26" s="78">
        <v>19555628.131104574</v>
      </c>
      <c r="O26" s="78">
        <v>25963687.066720761</v>
      </c>
      <c r="P26" s="124">
        <v>77112581.890355498</v>
      </c>
      <c r="Q26" s="124">
        <v>600030.0941684799</v>
      </c>
      <c r="R26" s="124">
        <v>1319174.6101382643</v>
      </c>
      <c r="S26" s="124">
        <v>2705286.3460854935</v>
      </c>
      <c r="T26" s="1"/>
      <c r="U26" s="1"/>
      <c r="V26" s="103">
        <v>158614.46335029797</v>
      </c>
      <c r="Z26" s="47"/>
    </row>
    <row r="27" spans="1:26" s="44" customFormat="1" ht="15.75" x14ac:dyDescent="0.25">
      <c r="A27" s="121">
        <v>45778</v>
      </c>
      <c r="B27" s="78">
        <v>17370174.668292839</v>
      </c>
      <c r="C27" s="78">
        <v>6212274.5850696443</v>
      </c>
      <c r="D27" s="78">
        <v>23582449.253362484</v>
      </c>
      <c r="E27" s="78">
        <v>13275154.076671937</v>
      </c>
      <c r="F27" s="77">
        <v>131187400.34348436</v>
      </c>
      <c r="G27" s="78">
        <v>723757.27784553496</v>
      </c>
      <c r="H27" s="78">
        <v>258844.77437790186</v>
      </c>
      <c r="I27" s="78">
        <v>2947806.1566703105</v>
      </c>
      <c r="J27" s="123">
        <v>128239594.18681403</v>
      </c>
      <c r="K27" s="123">
        <v>36857603.33003442</v>
      </c>
      <c r="L27" s="123">
        <v>14257756.128895374</v>
      </c>
      <c r="M27" s="78">
        <v>6352817.0482401866</v>
      </c>
      <c r="N27" s="78">
        <v>25963687.066720761</v>
      </c>
      <c r="O27" s="78">
        <v>32316504.114960946</v>
      </c>
      <c r="P27" s="124">
        <v>95923090.071853071</v>
      </c>
      <c r="Q27" s="124">
        <v>746398.82828179852</v>
      </c>
      <c r="R27" s="124">
        <v>1319174.6101382643</v>
      </c>
      <c r="S27" s="124">
        <v>3048175.4906434994</v>
      </c>
      <c r="T27" s="1"/>
      <c r="U27" s="1"/>
      <c r="V27" s="103">
        <v>197306.18637932275</v>
      </c>
      <c r="Z27" s="47"/>
    </row>
    <row r="28" spans="1:26" s="44" customFormat="1" ht="15.75" x14ac:dyDescent="0.25">
      <c r="A28" s="125">
        <v>45809</v>
      </c>
      <c r="B28" s="126">
        <v>17370174.668292839</v>
      </c>
      <c r="C28" s="126">
        <v>6212274.5850696443</v>
      </c>
      <c r="D28" s="126">
        <v>23582449.253362484</v>
      </c>
      <c r="E28" s="126">
        <v>15792855.71190282</v>
      </c>
      <c r="F28" s="127">
        <v>157287551.23207772</v>
      </c>
      <c r="G28" s="126">
        <v>868508.73341464193</v>
      </c>
      <c r="H28" s="126">
        <v>310613.72925348219</v>
      </c>
      <c r="I28" s="126">
        <v>4126928.6193384347</v>
      </c>
      <c r="J28" s="128">
        <v>153160622.61273929</v>
      </c>
      <c r="K28" s="128">
        <v>39375304.965265304</v>
      </c>
      <c r="L28" s="128">
        <v>16971978.174570944</v>
      </c>
      <c r="M28" s="126">
        <v>6297575.1608641846</v>
      </c>
      <c r="N28" s="126">
        <v>32316504.114960946</v>
      </c>
      <c r="O28" s="126">
        <v>38614079.275825128</v>
      </c>
      <c r="P28" s="129">
        <v>114546543.33691417</v>
      </c>
      <c r="Q28" s="129">
        <v>891312.04662359692</v>
      </c>
      <c r="R28" s="129">
        <v>1319174.6101382643</v>
      </c>
      <c r="S28" s="129">
        <v>3389609.1194299855</v>
      </c>
      <c r="T28" s="1"/>
      <c r="U28" s="1"/>
      <c r="V28" s="108">
        <v>235613.1522849277</v>
      </c>
      <c r="Z28" s="47"/>
    </row>
    <row r="29" spans="1:26" s="44" customFormat="1" ht="15.75" x14ac:dyDescent="0.25">
      <c r="A29" s="5">
        <v>45839</v>
      </c>
      <c r="B29" s="100">
        <v>18963414.79455173</v>
      </c>
      <c r="C29" s="100">
        <v>5993705.3806264773</v>
      </c>
      <c r="D29" s="100">
        <v>24957120.175178207</v>
      </c>
      <c r="E29" s="100">
        <v>18264780.953765877</v>
      </c>
      <c r="F29" s="99">
        <v>184716596.64911896</v>
      </c>
      <c r="G29" s="100">
        <v>1026537.1900359063</v>
      </c>
      <c r="H29" s="100">
        <v>360561.27409203618</v>
      </c>
      <c r="I29" s="100">
        <v>5514027.0834663771</v>
      </c>
      <c r="J29" s="8">
        <v>179202569.56565258</v>
      </c>
      <c r="K29" s="8">
        <v>43221901.128944084</v>
      </c>
      <c r="L29" s="8">
        <v>19651879.41789382</v>
      </c>
      <c r="M29" s="100">
        <v>6625533.10297623</v>
      </c>
      <c r="N29" s="100">
        <v>38614079.275825128</v>
      </c>
      <c r="O29" s="100">
        <v>45239612.378801361</v>
      </c>
      <c r="P29" s="103">
        <v>133962957.18685122</v>
      </c>
      <c r="Q29" s="103">
        <v>1042395.4670614882</v>
      </c>
      <c r="R29" s="103">
        <v>1363771.8372609136</v>
      </c>
      <c r="S29" s="103">
        <v>3793265.7684503444</v>
      </c>
      <c r="T29" s="1"/>
      <c r="U29" s="1"/>
      <c r="V29" s="103">
        <v>275551.1752054161</v>
      </c>
      <c r="Z29" s="47"/>
    </row>
    <row r="30" spans="1:26" s="44" customFormat="1" ht="15.75" x14ac:dyDescent="0.25">
      <c r="A30" s="5">
        <v>45870</v>
      </c>
      <c r="B30" s="100">
        <v>18963414.79455173</v>
      </c>
      <c r="C30" s="100">
        <v>5993705.3806264773</v>
      </c>
      <c r="D30" s="100">
        <v>24957120.175178207</v>
      </c>
      <c r="E30" s="100">
        <v>20690929.802261095</v>
      </c>
      <c r="F30" s="99">
        <v>212099865.67279238</v>
      </c>
      <c r="G30" s="100">
        <v>1184565.646657171</v>
      </c>
      <c r="H30" s="100">
        <v>410508.81893059018</v>
      </c>
      <c r="I30" s="100">
        <v>7109101.5490541384</v>
      </c>
      <c r="J30" s="8">
        <v>204990764.12373823</v>
      </c>
      <c r="K30" s="8">
        <v>45648049.977439299</v>
      </c>
      <c r="L30" s="8">
        <v>22286004.267848857</v>
      </c>
      <c r="M30" s="100">
        <v>6567071.0489658741</v>
      </c>
      <c r="N30" s="100">
        <v>45239612.378801361</v>
      </c>
      <c r="O30" s="100">
        <v>51806683.427767232</v>
      </c>
      <c r="P30" s="103">
        <v>153184080.69597101</v>
      </c>
      <c r="Q30" s="103">
        <v>1191959.2900651062</v>
      </c>
      <c r="R30" s="103">
        <v>1363771.8372609136</v>
      </c>
      <c r="S30" s="103">
        <v>4150805.5929137813</v>
      </c>
      <c r="T30" s="1"/>
      <c r="U30" s="1"/>
      <c r="V30" s="103">
        <v>315087.50138787716</v>
      </c>
      <c r="Z30" s="47"/>
    </row>
    <row r="31" spans="1:26" s="44" customFormat="1" ht="15.75" x14ac:dyDescent="0.25">
      <c r="A31" s="104">
        <v>45901</v>
      </c>
      <c r="B31" s="105">
        <v>18963414.79455173</v>
      </c>
      <c r="C31" s="105">
        <v>5993705.3806264773</v>
      </c>
      <c r="D31" s="105">
        <v>24957120.175178207</v>
      </c>
      <c r="E31" s="105">
        <v>23071302.257388469</v>
      </c>
      <c r="F31" s="106">
        <v>239437358.30309796</v>
      </c>
      <c r="G31" s="105">
        <v>1342594.1032784353</v>
      </c>
      <c r="H31" s="105">
        <v>460456.36376914411</v>
      </c>
      <c r="I31" s="105">
        <v>8912152.0161017179</v>
      </c>
      <c r="J31" s="107">
        <v>230525206.28699625</v>
      </c>
      <c r="K31" s="107">
        <v>48028422.432566673</v>
      </c>
      <c r="L31" s="107">
        <v>24874352.724436048</v>
      </c>
      <c r="M31" s="105">
        <v>6508608.9949555192</v>
      </c>
      <c r="N31" s="105">
        <v>51806683.427767232</v>
      </c>
      <c r="O31" s="105">
        <v>58315292.422722749</v>
      </c>
      <c r="P31" s="108">
        <v>172209913.86427349</v>
      </c>
      <c r="Q31" s="108">
        <v>1340003.5156344506</v>
      </c>
      <c r="R31" s="108">
        <v>1363771.8372609136</v>
      </c>
      <c r="S31" s="108">
        <v>4506825.8199429438</v>
      </c>
      <c r="T31" s="1"/>
      <c r="U31" s="1"/>
      <c r="V31" s="108">
        <v>354222.13083231071</v>
      </c>
      <c r="Z31" s="47"/>
    </row>
    <row r="32" spans="1:26" s="44" customFormat="1" ht="15.75" x14ac:dyDescent="0.25">
      <c r="A32" s="5">
        <v>45931</v>
      </c>
      <c r="B32" s="100">
        <v>18963414.79455173</v>
      </c>
      <c r="C32" s="100">
        <v>5993705.3806264773</v>
      </c>
      <c r="D32" s="100">
        <v>24957120.175178207</v>
      </c>
      <c r="E32" s="100">
        <v>25405898.319148023</v>
      </c>
      <c r="F32" s="99">
        <v>266729074.54003572</v>
      </c>
      <c r="G32" s="100">
        <v>1500622.5598996996</v>
      </c>
      <c r="H32" s="100">
        <v>510403.90860769816</v>
      </c>
      <c r="I32" s="100">
        <v>10923178.484609116</v>
      </c>
      <c r="J32" s="8">
        <v>255805896.0554266</v>
      </c>
      <c r="K32" s="8">
        <v>50363018.494326234</v>
      </c>
      <c r="L32" s="8">
        <v>27416924.787655421</v>
      </c>
      <c r="M32" s="100">
        <v>6450146.9409451662</v>
      </c>
      <c r="N32" s="100">
        <v>58315292.422722749</v>
      </c>
      <c r="O32" s="100">
        <v>64765439.363667913</v>
      </c>
      <c r="P32" s="103">
        <v>191040456.69175869</v>
      </c>
      <c r="Q32" s="103">
        <v>1486528.1437695215</v>
      </c>
      <c r="R32" s="103">
        <v>1363771.8372609136</v>
      </c>
      <c r="S32" s="103">
        <v>4861326.4495378332</v>
      </c>
      <c r="T32" s="1"/>
      <c r="U32" s="1"/>
      <c r="V32" s="103">
        <v>392955.0635387167</v>
      </c>
      <c r="Z32" s="47"/>
    </row>
    <row r="33" spans="1:26" s="44" customFormat="1" ht="15.75" x14ac:dyDescent="0.25">
      <c r="A33" s="5">
        <v>45962</v>
      </c>
      <c r="B33" s="100">
        <v>18963414.79455173</v>
      </c>
      <c r="C33" s="100">
        <v>5993705.3806264773</v>
      </c>
      <c r="D33" s="100">
        <v>24957120.175178207</v>
      </c>
      <c r="E33" s="100">
        <v>27694717.987539738</v>
      </c>
      <c r="F33" s="99">
        <v>293975014.3836056</v>
      </c>
      <c r="G33" s="100">
        <v>1658651.0165209642</v>
      </c>
      <c r="H33" s="100">
        <v>560351.45344625216</v>
      </c>
      <c r="I33" s="100">
        <v>13142180.954576332</v>
      </c>
      <c r="J33" s="8">
        <v>280832833.42902929</v>
      </c>
      <c r="K33" s="8">
        <v>52651838.162717946</v>
      </c>
      <c r="L33" s="8">
        <v>29913720.457506955</v>
      </c>
      <c r="M33" s="100">
        <v>6391684.8869348103</v>
      </c>
      <c r="N33" s="100">
        <v>64765439.363667913</v>
      </c>
      <c r="O33" s="100">
        <v>71157124.250602722</v>
      </c>
      <c r="P33" s="103">
        <v>209675709.17842656</v>
      </c>
      <c r="Q33" s="103">
        <v>1631533.1744703185</v>
      </c>
      <c r="R33" s="103">
        <v>1363771.8372609136</v>
      </c>
      <c r="S33" s="103">
        <v>5214307.4816984478</v>
      </c>
      <c r="T33" s="1"/>
      <c r="U33" s="1"/>
      <c r="V33" s="103">
        <v>431286.29950709525</v>
      </c>
      <c r="Z33" s="47"/>
    </row>
    <row r="34" spans="1:26" s="44" customFormat="1" ht="15.75" x14ac:dyDescent="0.25">
      <c r="A34" s="104">
        <v>45992</v>
      </c>
      <c r="B34" s="105">
        <v>18963414.79455173</v>
      </c>
      <c r="C34" s="105">
        <v>5993705.3806264773</v>
      </c>
      <c r="D34" s="105">
        <v>24957120.175178207</v>
      </c>
      <c r="E34" s="105">
        <v>29937761.262563609</v>
      </c>
      <c r="F34" s="106">
        <v>321175177.83380771</v>
      </c>
      <c r="G34" s="105">
        <v>1816679.4731422286</v>
      </c>
      <c r="H34" s="105">
        <v>610298.99828480603</v>
      </c>
      <c r="I34" s="105">
        <v>15569159.426003367</v>
      </c>
      <c r="J34" s="107">
        <v>305606018.40780437</v>
      </c>
      <c r="K34" s="107">
        <v>54894881.437741816</v>
      </c>
      <c r="L34" s="107">
        <v>32364739.733990643</v>
      </c>
      <c r="M34" s="105">
        <v>6333222.8329244554</v>
      </c>
      <c r="N34" s="105">
        <v>71157124.250602722</v>
      </c>
      <c r="O34" s="105">
        <v>77490347.083527178</v>
      </c>
      <c r="P34" s="108">
        <v>228115671.32427719</v>
      </c>
      <c r="Q34" s="108">
        <v>1775018.6077368422</v>
      </c>
      <c r="R34" s="108">
        <v>1363771.8372609136</v>
      </c>
      <c r="S34" s="108">
        <v>5565768.9164247904</v>
      </c>
      <c r="T34" s="1"/>
      <c r="U34" s="1"/>
      <c r="V34" s="108">
        <v>469215.83873744641</v>
      </c>
      <c r="Z34" s="47"/>
    </row>
    <row r="35" spans="1:26" s="44" customFormat="1" ht="15.75" x14ac:dyDescent="0.25">
      <c r="A35" s="5">
        <v>46023</v>
      </c>
      <c r="B35" s="100">
        <v>18963414.79455173</v>
      </c>
      <c r="C35" s="100">
        <v>5993705.3806264773</v>
      </c>
      <c r="D35" s="100">
        <v>24957120.175178207</v>
      </c>
      <c r="E35" s="100">
        <v>35343505.649973646</v>
      </c>
      <c r="F35" s="99">
        <v>351538042.39639598</v>
      </c>
      <c r="G35" s="100">
        <v>1974707.9297634929</v>
      </c>
      <c r="H35" s="100">
        <v>660246.54312336002</v>
      </c>
      <c r="I35" s="100">
        <v>18204113.89889022</v>
      </c>
      <c r="J35" s="8">
        <v>333333928.49750578</v>
      </c>
      <c r="K35" s="8">
        <v>60300625.825151853</v>
      </c>
      <c r="L35" s="8">
        <v>37978460.122860499</v>
      </c>
      <c r="M35" s="100">
        <v>6274760.7789141005</v>
      </c>
      <c r="N35" s="100">
        <v>77490347.083527178</v>
      </c>
      <c r="O35" s="100">
        <v>83765107.862441272</v>
      </c>
      <c r="P35" s="103">
        <v>249568820.63506451</v>
      </c>
      <c r="Q35" s="103">
        <v>1941950.3183034179</v>
      </c>
      <c r="R35" s="103">
        <v>1363771.8372609136</v>
      </c>
      <c r="S35" s="103">
        <v>5940676.6284511844</v>
      </c>
      <c r="T35" s="1"/>
      <c r="U35" s="1"/>
      <c r="V35" s="103">
        <v>513343.26491989061</v>
      </c>
      <c r="Z35" s="47"/>
    </row>
    <row r="36" spans="1:26" s="44" customFormat="1" ht="15.75" x14ac:dyDescent="0.25">
      <c r="A36" s="5">
        <v>46054</v>
      </c>
      <c r="B36" s="100">
        <v>18963414.79455173</v>
      </c>
      <c r="C36" s="100">
        <v>5993705.3806264773</v>
      </c>
      <c r="D36" s="100">
        <v>24957120.175178207</v>
      </c>
      <c r="E36" s="100">
        <v>40649999.01891996</v>
      </c>
      <c r="F36" s="99">
        <v>381801655.94052052</v>
      </c>
      <c r="G36" s="100">
        <v>2132736.3863847572</v>
      </c>
      <c r="H36" s="100">
        <v>710194.0879619139</v>
      </c>
      <c r="I36" s="100">
        <v>21047044.373236887</v>
      </c>
      <c r="J36" s="8">
        <v>360754611.56728363</v>
      </c>
      <c r="K36" s="8">
        <v>65607119.194098167</v>
      </c>
      <c r="L36" s="8">
        <v>43492929.493266627</v>
      </c>
      <c r="M36" s="100">
        <v>6216298.7249037465</v>
      </c>
      <c r="N36" s="100">
        <v>83765107.862441272</v>
      </c>
      <c r="O36" s="100">
        <v>89981406.587345019</v>
      </c>
      <c r="P36" s="103">
        <v>270773204.97993863</v>
      </c>
      <c r="Q36" s="103">
        <v>2106946.3335234807</v>
      </c>
      <c r="R36" s="103">
        <v>1363771.8372609136</v>
      </c>
      <c r="S36" s="103">
        <v>6313648.6451310655</v>
      </c>
      <c r="T36" s="1"/>
      <c r="U36" s="1"/>
      <c r="V36" s="103">
        <v>556959.00130280538</v>
      </c>
      <c r="Z36" s="47"/>
    </row>
    <row r="37" spans="1:26" s="44" customFormat="1" ht="15.75" x14ac:dyDescent="0.25">
      <c r="A37" s="104">
        <v>46082</v>
      </c>
      <c r="B37" s="105">
        <v>18963414.79455173</v>
      </c>
      <c r="C37" s="105">
        <v>5993705.3806264773</v>
      </c>
      <c r="D37" s="105">
        <v>24957120.175178207</v>
      </c>
      <c r="E37" s="105">
        <v>45857241.36940252</v>
      </c>
      <c r="F37" s="106">
        <v>411966018.46618134</v>
      </c>
      <c r="G37" s="105">
        <v>2290764.8430060218</v>
      </c>
      <c r="H37" s="105">
        <v>760141.63280046778</v>
      </c>
      <c r="I37" s="105">
        <v>24097950.849043377</v>
      </c>
      <c r="J37" s="107">
        <v>387868067.61713797</v>
      </c>
      <c r="K37" s="107">
        <v>70814361.544580728</v>
      </c>
      <c r="L37" s="107">
        <v>48908147.84520901</v>
      </c>
      <c r="M37" s="105">
        <v>6157836.6708933907</v>
      </c>
      <c r="N37" s="105">
        <v>89981406.587345019</v>
      </c>
      <c r="O37" s="105">
        <v>96139243.258238405</v>
      </c>
      <c r="P37" s="108">
        <v>291728824.35889959</v>
      </c>
      <c r="Q37" s="108">
        <v>2270006.6533970321</v>
      </c>
      <c r="R37" s="108">
        <v>1363771.8372609136</v>
      </c>
      <c r="S37" s="108">
        <v>6684684.9664644357</v>
      </c>
      <c r="T37" s="1"/>
      <c r="U37" s="1"/>
      <c r="V37" s="108">
        <v>600063.04788619059</v>
      </c>
      <c r="Z37" s="47"/>
    </row>
    <row r="38" spans="1:26" s="44" customFormat="1" ht="15.75" x14ac:dyDescent="0.25">
      <c r="A38" s="5">
        <v>46113</v>
      </c>
      <c r="B38" s="100">
        <v>18963414.79455173</v>
      </c>
      <c r="C38" s="100">
        <v>5993705.3806264773</v>
      </c>
      <c r="D38" s="100">
        <v>24957120.175178207</v>
      </c>
      <c r="E38" s="100">
        <v>50965232.70142138</v>
      </c>
      <c r="F38" s="99">
        <v>442031129.97337842</v>
      </c>
      <c r="G38" s="100">
        <v>2448793.2996272864</v>
      </c>
      <c r="H38" s="100">
        <v>810089.17763902177</v>
      </c>
      <c r="I38" s="100">
        <v>27356833.326309685</v>
      </c>
      <c r="J38" s="8">
        <v>414674296.64706874</v>
      </c>
      <c r="K38" s="8">
        <v>75922352.87659958</v>
      </c>
      <c r="L38" s="8">
        <v>54224115.178687692</v>
      </c>
      <c r="M38" s="100">
        <v>6099374.616883032</v>
      </c>
      <c r="N38" s="100">
        <v>96139243.258238405</v>
      </c>
      <c r="O38" s="100">
        <v>102238617.87512144</v>
      </c>
      <c r="P38" s="103">
        <v>312435678.77194726</v>
      </c>
      <c r="Q38" s="103">
        <v>2431131.2779240701</v>
      </c>
      <c r="R38" s="103">
        <v>1363771.8372609136</v>
      </c>
      <c r="S38" s="103">
        <v>7053785.5924512912</v>
      </c>
      <c r="T38" s="1"/>
      <c r="U38" s="1"/>
      <c r="V38" s="103">
        <v>642655.40467004629</v>
      </c>
      <c r="Z38" s="47"/>
    </row>
    <row r="39" spans="1:26" s="44" customFormat="1" ht="15.75" x14ac:dyDescent="0.25">
      <c r="A39" s="5">
        <v>46143</v>
      </c>
      <c r="B39" s="100">
        <v>18963414.79455173</v>
      </c>
      <c r="C39" s="100">
        <v>5993705.3806264773</v>
      </c>
      <c r="D39" s="100">
        <v>24957120.175178207</v>
      </c>
      <c r="E39" s="100">
        <v>55973973.014976479</v>
      </c>
      <c r="F39" s="99">
        <v>471996990.46211177</v>
      </c>
      <c r="G39" s="100">
        <v>2606821.7562485505</v>
      </c>
      <c r="H39" s="100">
        <v>860036.72247757553</v>
      </c>
      <c r="I39" s="100">
        <v>30823691.805035811</v>
      </c>
      <c r="J39" s="8">
        <v>441173298.65707594</v>
      </c>
      <c r="K39" s="8">
        <v>80931093.190154687</v>
      </c>
      <c r="L39" s="8">
        <v>59440831.493702605</v>
      </c>
      <c r="M39" s="100">
        <v>6040912.5628726808</v>
      </c>
      <c r="N39" s="100">
        <v>102238617.87512144</v>
      </c>
      <c r="O39" s="100">
        <v>108279530.43799412</v>
      </c>
      <c r="P39" s="103">
        <v>332893768.21908182</v>
      </c>
      <c r="Q39" s="103">
        <v>2590320.2071045963</v>
      </c>
      <c r="R39" s="103">
        <v>1363771.8372609136</v>
      </c>
      <c r="S39" s="103">
        <v>7420950.5230916366</v>
      </c>
      <c r="T39" s="1"/>
      <c r="U39" s="1"/>
      <c r="V39" s="103">
        <v>684736.0716543725</v>
      </c>
      <c r="Z39" s="47"/>
    </row>
    <row r="40" spans="1:26" s="44" customFormat="1" ht="15.75" x14ac:dyDescent="0.25">
      <c r="A40" s="104">
        <v>46174</v>
      </c>
      <c r="B40" s="105">
        <v>18963414.79455173</v>
      </c>
      <c r="C40" s="105">
        <v>5993705.3806264773</v>
      </c>
      <c r="D40" s="105">
        <v>24957120.175178207</v>
      </c>
      <c r="E40" s="105">
        <v>60883462.310067855</v>
      </c>
      <c r="F40" s="106">
        <v>501863599.93238133</v>
      </c>
      <c r="G40" s="105">
        <v>2764850.2128698151</v>
      </c>
      <c r="H40" s="105">
        <v>909984.26731612964</v>
      </c>
      <c r="I40" s="105">
        <v>34498526.285221756</v>
      </c>
      <c r="J40" s="107">
        <v>467365073.64715958</v>
      </c>
      <c r="K40" s="107">
        <v>85840582.485246062</v>
      </c>
      <c r="L40" s="107">
        <v>64558296.790253803</v>
      </c>
      <c r="M40" s="105">
        <v>5982450.5088623241</v>
      </c>
      <c r="N40" s="105">
        <v>108279530.43799412</v>
      </c>
      <c r="O40" s="105">
        <v>114261980.94685644</v>
      </c>
      <c r="P40" s="108">
        <v>353103092.70030314</v>
      </c>
      <c r="Q40" s="108">
        <v>2747573.4409386097</v>
      </c>
      <c r="R40" s="108">
        <v>1363771.8372609136</v>
      </c>
      <c r="S40" s="108">
        <v>7786179.7583854683</v>
      </c>
      <c r="T40" s="1"/>
      <c r="U40" s="1"/>
      <c r="V40" s="108">
        <v>726305.04883916921</v>
      </c>
      <c r="Z40" s="47"/>
    </row>
    <row r="41" spans="1:26" s="44" customFormat="1" ht="15.75" x14ac:dyDescent="0.25">
      <c r="A41" s="5">
        <v>46204</v>
      </c>
      <c r="B41" s="100">
        <v>19310789.464671493</v>
      </c>
      <c r="C41" s="100">
        <v>6155987.3476841552</v>
      </c>
      <c r="D41" s="100">
        <v>25466776.812355649</v>
      </c>
      <c r="E41" s="100">
        <v>65693700.586695477</v>
      </c>
      <c r="F41" s="99">
        <v>532140615.02136463</v>
      </c>
      <c r="G41" s="100">
        <v>2925773.4584087441</v>
      </c>
      <c r="H41" s="100">
        <v>961284.16188016417</v>
      </c>
      <c r="I41" s="100">
        <v>38385583.905510664</v>
      </c>
      <c r="J41" s="8">
        <v>493755031.11585397</v>
      </c>
      <c r="K41" s="8">
        <v>91160477.39905113</v>
      </c>
      <c r="L41" s="8">
        <v>69580758.206984386</v>
      </c>
      <c r="M41" s="100">
        <v>6066059.0648899619</v>
      </c>
      <c r="N41" s="100">
        <v>114261980.94685644</v>
      </c>
      <c r="O41" s="100">
        <v>120328040.01174641</v>
      </c>
      <c r="P41" s="103">
        <v>373426991.10410756</v>
      </c>
      <c r="Q41" s="103">
        <v>2905718.1998632308</v>
      </c>
      <c r="R41" s="103">
        <v>1383664.4317045601</v>
      </c>
      <c r="S41" s="103">
        <v>8176440.2518566996</v>
      </c>
      <c r="T41" s="1"/>
      <c r="U41" s="1"/>
      <c r="V41" s="103">
        <v>768109.69549318822</v>
      </c>
      <c r="Z41" s="47"/>
    </row>
    <row r="42" spans="1:26" s="44" customFormat="1" ht="15.75" x14ac:dyDescent="0.25">
      <c r="A42" s="5">
        <v>46235</v>
      </c>
      <c r="B42" s="100">
        <v>19310789.464671493</v>
      </c>
      <c r="C42" s="100">
        <v>6155987.3476841552</v>
      </c>
      <c r="D42" s="100">
        <v>25466776.812355649</v>
      </c>
      <c r="E42" s="100">
        <v>70404687.844859391</v>
      </c>
      <c r="F42" s="99">
        <v>562318379.09188414</v>
      </c>
      <c r="G42" s="100">
        <v>3086696.7039476736</v>
      </c>
      <c r="H42" s="100">
        <v>1012584.0564441988</v>
      </c>
      <c r="I42" s="100">
        <v>42484864.665902533</v>
      </c>
      <c r="J42" s="8">
        <v>519833514.42598164</v>
      </c>
      <c r="K42" s="8">
        <v>95871464.657215044</v>
      </c>
      <c r="L42" s="8">
        <v>74503968.605251268</v>
      </c>
      <c r="M42" s="100">
        <v>6006403.1402070178</v>
      </c>
      <c r="N42" s="100">
        <v>120328040.01174641</v>
      </c>
      <c r="O42" s="100">
        <v>126334443.15195343</v>
      </c>
      <c r="P42" s="103">
        <v>393499071.27402818</v>
      </c>
      <c r="Q42" s="103">
        <v>3061903.5052864058</v>
      </c>
      <c r="R42" s="103">
        <v>1383664.4317045601</v>
      </c>
      <c r="S42" s="103">
        <v>8544848.6973828375</v>
      </c>
      <c r="T42" s="1"/>
      <c r="U42" s="1"/>
      <c r="V42" s="103">
        <v>809396.37201768823</v>
      </c>
      <c r="Z42" s="47"/>
    </row>
    <row r="43" spans="1:26" s="44" customFormat="1" ht="15.75" x14ac:dyDescent="0.25">
      <c r="A43" s="104">
        <v>46266</v>
      </c>
      <c r="B43" s="105">
        <v>19310789.464671493</v>
      </c>
      <c r="C43" s="105">
        <v>6155987.3476841552</v>
      </c>
      <c r="D43" s="105">
        <v>25466776.812355649</v>
      </c>
      <c r="E43" s="105">
        <v>75016424.084559545</v>
      </c>
      <c r="F43" s="106">
        <v>592396892.14393997</v>
      </c>
      <c r="G43" s="105">
        <v>3247619.9494866026</v>
      </c>
      <c r="H43" s="105">
        <v>1063883.9510082337</v>
      </c>
      <c r="I43" s="105">
        <v>46796368.566397369</v>
      </c>
      <c r="J43" s="107">
        <v>545600523.57754254</v>
      </c>
      <c r="K43" s="107">
        <v>100483200.8969152</v>
      </c>
      <c r="L43" s="107">
        <v>79327927.985054374</v>
      </c>
      <c r="M43" s="105">
        <v>5946747.2155240774</v>
      </c>
      <c r="N43" s="105">
        <v>126334443.15195343</v>
      </c>
      <c r="O43" s="105">
        <v>132281190.36747751</v>
      </c>
      <c r="P43" s="108">
        <v>413319333.21006501</v>
      </c>
      <c r="Q43" s="108">
        <v>3216129.3572081341</v>
      </c>
      <c r="R43" s="108">
        <v>1383664.4317045601</v>
      </c>
      <c r="S43" s="108">
        <v>8911297.6894075312</v>
      </c>
      <c r="T43" s="1"/>
      <c r="U43" s="1"/>
      <c r="V43" s="108">
        <v>850165.07841266913</v>
      </c>
      <c r="Z43" s="47"/>
    </row>
    <row r="44" spans="1:26" s="44" customFormat="1" ht="15.75" x14ac:dyDescent="0.25">
      <c r="A44" s="5">
        <v>46296</v>
      </c>
      <c r="B44" s="100">
        <v>19310789.464671493</v>
      </c>
      <c r="C44" s="100">
        <v>6155987.3476841552</v>
      </c>
      <c r="D44" s="100">
        <v>25466776.812355649</v>
      </c>
      <c r="E44" s="100">
        <v>79528909.305795968</v>
      </c>
      <c r="F44" s="99">
        <v>622376154.17753196</v>
      </c>
      <c r="G44" s="100">
        <v>3408543.1950255311</v>
      </c>
      <c r="H44" s="100">
        <v>1115183.8455722681</v>
      </c>
      <c r="I44" s="100">
        <v>51320095.606995173</v>
      </c>
      <c r="J44" s="8">
        <v>571056058.57053685</v>
      </c>
      <c r="K44" s="8">
        <v>104995686.11815162</v>
      </c>
      <c r="L44" s="8">
        <v>84052636.346393764</v>
      </c>
      <c r="M44" s="100">
        <v>5887091.2908411333</v>
      </c>
      <c r="N44" s="100">
        <v>132281190.36747751</v>
      </c>
      <c r="O44" s="100">
        <v>138168281.65831864</v>
      </c>
      <c r="P44" s="103">
        <v>432887776.91221821</v>
      </c>
      <c r="Q44" s="103">
        <v>3368395.7556284172</v>
      </c>
      <c r="R44" s="103">
        <v>1383664.4317045601</v>
      </c>
      <c r="S44" s="103">
        <v>9275787.2279307768</v>
      </c>
      <c r="T44" s="1"/>
      <c r="U44" s="1"/>
      <c r="V44" s="103">
        <v>890415.81467813114</v>
      </c>
      <c r="Z44" s="47"/>
    </row>
    <row r="45" spans="1:26" s="44" customFormat="1" ht="15.75" x14ac:dyDescent="0.25">
      <c r="A45" s="5">
        <v>46327</v>
      </c>
      <c r="B45" s="100">
        <v>19310789.464671493</v>
      </c>
      <c r="C45" s="100">
        <v>6155987.3476841552</v>
      </c>
      <c r="D45" s="100">
        <v>25466776.812355649</v>
      </c>
      <c r="E45" s="100">
        <v>83942143.508568674</v>
      </c>
      <c r="F45" s="99">
        <v>652256165.19266033</v>
      </c>
      <c r="G45" s="100">
        <v>3569466.4405644601</v>
      </c>
      <c r="H45" s="100">
        <v>1166483.7401363028</v>
      </c>
      <c r="I45" s="100">
        <v>56056045.787695937</v>
      </c>
      <c r="J45" s="8">
        <v>596200119.40496445</v>
      </c>
      <c r="K45" s="8">
        <v>109408920.32092433</v>
      </c>
      <c r="L45" s="8">
        <v>88678093.689269438</v>
      </c>
      <c r="M45" s="100">
        <v>5827435.3661581893</v>
      </c>
      <c r="N45" s="100">
        <v>138168281.65831864</v>
      </c>
      <c r="O45" s="100">
        <v>143995717.02447683</v>
      </c>
      <c r="P45" s="103">
        <v>452204402.38048762</v>
      </c>
      <c r="Q45" s="103">
        <v>3518702.7005472542</v>
      </c>
      <c r="R45" s="103">
        <v>1383664.4317045601</v>
      </c>
      <c r="S45" s="103">
        <v>9638317.3129525781</v>
      </c>
      <c r="T45" s="1"/>
      <c r="U45" s="1"/>
      <c r="V45" s="103">
        <v>930148.58081407414</v>
      </c>
      <c r="Z45" s="47"/>
    </row>
    <row r="46" spans="1:26" s="44" customFormat="1" ht="15.75" x14ac:dyDescent="0.25">
      <c r="A46" s="104">
        <v>46357</v>
      </c>
      <c r="B46" s="105">
        <v>19310789.464671493</v>
      </c>
      <c r="C46" s="105">
        <v>6155987.3476841552</v>
      </c>
      <c r="D46" s="105">
        <v>25466776.812355649</v>
      </c>
      <c r="E46" s="105">
        <v>88256126.69287762</v>
      </c>
      <c r="F46" s="106">
        <v>682036925.18932498</v>
      </c>
      <c r="G46" s="105">
        <v>3730389.6861033896</v>
      </c>
      <c r="H46" s="105">
        <v>1217783.6347003372</v>
      </c>
      <c r="I46" s="105">
        <v>61004219.108499661</v>
      </c>
      <c r="J46" s="107">
        <v>621032706.08082533</v>
      </c>
      <c r="K46" s="107">
        <v>113722903.50523327</v>
      </c>
      <c r="L46" s="107">
        <v>93204300.013681352</v>
      </c>
      <c r="M46" s="105">
        <v>5767779.4414752452</v>
      </c>
      <c r="N46" s="105">
        <v>143995717.02447683</v>
      </c>
      <c r="O46" s="105">
        <v>149763496.46595207</v>
      </c>
      <c r="P46" s="108">
        <v>471269209.61487329</v>
      </c>
      <c r="Q46" s="108">
        <v>3667050.1919646445</v>
      </c>
      <c r="R46" s="108">
        <v>1383664.4317045601</v>
      </c>
      <c r="S46" s="108">
        <v>9998887.9444729313</v>
      </c>
      <c r="T46" s="1"/>
      <c r="U46" s="1"/>
      <c r="V46" s="108">
        <v>969363.37682049815</v>
      </c>
      <c r="Z46" s="47"/>
    </row>
    <row r="47" spans="1:26" s="44" customFormat="1" ht="15.75" x14ac:dyDescent="0.25">
      <c r="A47" s="5">
        <v>46388</v>
      </c>
      <c r="B47" s="100">
        <v>19310789.464671493</v>
      </c>
      <c r="C47" s="100">
        <v>6155987.3476841552</v>
      </c>
      <c r="D47" s="100">
        <v>25466776.812355649</v>
      </c>
      <c r="E47" s="100">
        <v>92538154.623584479</v>
      </c>
      <c r="F47" s="99">
        <v>711785729.93238747</v>
      </c>
      <c r="G47" s="100">
        <v>3891312.9316423186</v>
      </c>
      <c r="H47" s="100">
        <v>1269083.5292643718</v>
      </c>
      <c r="I47" s="100">
        <v>66164615.569406345</v>
      </c>
      <c r="J47" s="8">
        <v>645621114.36298108</v>
      </c>
      <c r="K47" s="8">
        <v>118004931.43594013</v>
      </c>
      <c r="L47" s="8">
        <v>97698551.084491163</v>
      </c>
      <c r="M47" s="100">
        <v>5708123.5167923048</v>
      </c>
      <c r="N47" s="100">
        <v>149763496.46595207</v>
      </c>
      <c r="O47" s="100">
        <v>155471619.98274437</v>
      </c>
      <c r="P47" s="103">
        <v>490149494.38023674</v>
      </c>
      <c r="Q47" s="103">
        <v>3813961.8731452436</v>
      </c>
      <c r="R47" s="103">
        <v>1383664.4317045601</v>
      </c>
      <c r="S47" s="103">
        <v>10358022.765756493</v>
      </c>
      <c r="T47" s="1"/>
      <c r="U47" s="1"/>
      <c r="V47" s="103">
        <v>1008198.6247469261</v>
      </c>
      <c r="Z47" s="47"/>
    </row>
    <row r="48" spans="1:26" s="44" customFormat="1" ht="15.75" x14ac:dyDescent="0.25">
      <c r="A48" s="5">
        <v>46419</v>
      </c>
      <c r="B48" s="100">
        <v>19310789.464671493</v>
      </c>
      <c r="C48" s="100">
        <v>6155987.3476841552</v>
      </c>
      <c r="D48" s="100">
        <v>25466776.812355649</v>
      </c>
      <c r="E48" s="100">
        <v>96719809.939746633</v>
      </c>
      <c r="F48" s="99">
        <v>741434162.06090522</v>
      </c>
      <c r="G48" s="100">
        <v>4052236.1771812476</v>
      </c>
      <c r="H48" s="100">
        <v>1320383.4238284065</v>
      </c>
      <c r="I48" s="100">
        <v>71537235.170415998</v>
      </c>
      <c r="J48" s="8">
        <v>669896926.89048922</v>
      </c>
      <c r="K48" s="8">
        <v>122186586.75210229</v>
      </c>
      <c r="L48" s="8">
        <v>102092429.54075629</v>
      </c>
      <c r="M48" s="100">
        <v>5648467.5921093607</v>
      </c>
      <c r="N48" s="100">
        <v>155471619.98274437</v>
      </c>
      <c r="O48" s="100">
        <v>161120087.57485372</v>
      </c>
      <c r="P48" s="103">
        <v>508776839.3156355</v>
      </c>
      <c r="Q48" s="103">
        <v>3958905.3734366531</v>
      </c>
      <c r="R48" s="103">
        <v>1383664.4317045601</v>
      </c>
      <c r="S48" s="103">
        <v>10715189.406150866</v>
      </c>
      <c r="T48" s="1"/>
      <c r="U48" s="1"/>
      <c r="V48" s="103">
        <v>1046513.5955096764</v>
      </c>
      <c r="Z48" s="47"/>
    </row>
    <row r="49" spans="1:26" s="44" customFormat="1" ht="15.75" x14ac:dyDescent="0.25">
      <c r="A49" s="104">
        <v>46447</v>
      </c>
      <c r="B49" s="105">
        <v>19310789.464671493</v>
      </c>
      <c r="C49" s="105">
        <v>6155987.3476841552</v>
      </c>
      <c r="D49" s="105">
        <v>25466776.812355649</v>
      </c>
      <c r="E49" s="105">
        <v>100801092.64136399</v>
      </c>
      <c r="F49" s="106">
        <v>770982221.57487822</v>
      </c>
      <c r="G49" s="105">
        <v>4213159.4227201771</v>
      </c>
      <c r="H49" s="105">
        <v>1371683.3183924409</v>
      </c>
      <c r="I49" s="105">
        <v>77122077.911528617</v>
      </c>
      <c r="J49" s="107">
        <v>693860143.66334963</v>
      </c>
      <c r="K49" s="107">
        <v>126267869.45371965</v>
      </c>
      <c r="L49" s="107">
        <v>106385935.38247661</v>
      </c>
      <c r="M49" s="105">
        <v>5588811.6674264167</v>
      </c>
      <c r="N49" s="105">
        <v>161120087.57485372</v>
      </c>
      <c r="O49" s="105">
        <v>166708899.24228013</v>
      </c>
      <c r="P49" s="108">
        <v>527151244.4210695</v>
      </c>
      <c r="Q49" s="108">
        <v>4101880.6928388723</v>
      </c>
      <c r="R49" s="108">
        <v>1383664.4317045601</v>
      </c>
      <c r="S49" s="108">
        <v>11070387.86565605</v>
      </c>
      <c r="T49" s="1"/>
      <c r="U49" s="1"/>
      <c r="V49" s="108">
        <v>1084308.2891087492</v>
      </c>
      <c r="Z49" s="47"/>
    </row>
    <row r="50" spans="1:26" s="44" customFormat="1" ht="15.75" x14ac:dyDescent="0.25">
      <c r="A50" s="5">
        <v>46478</v>
      </c>
      <c r="B50" s="100">
        <v>19310789.464671493</v>
      </c>
      <c r="C50" s="100">
        <v>6155987.3476841552</v>
      </c>
      <c r="D50" s="100">
        <v>25466776.812355649</v>
      </c>
      <c r="E50" s="100">
        <v>104782002.72843657</v>
      </c>
      <c r="F50" s="99">
        <v>800429908.47430646</v>
      </c>
      <c r="G50" s="100">
        <v>4374082.6682591056</v>
      </c>
      <c r="H50" s="100">
        <v>1422983.2129564756</v>
      </c>
      <c r="I50" s="100">
        <v>82919143.79274419</v>
      </c>
      <c r="J50" s="8">
        <v>717510764.6815623</v>
      </c>
      <c r="K50" s="8">
        <v>130248779.54079223</v>
      </c>
      <c r="L50" s="8">
        <v>110579068.60965216</v>
      </c>
      <c r="M50" s="100">
        <v>5529155.7427434726</v>
      </c>
      <c r="N50" s="100">
        <v>166708899.24228013</v>
      </c>
      <c r="O50" s="100">
        <v>172238054.98502359</v>
      </c>
      <c r="P50" s="103">
        <v>545272709.69653869</v>
      </c>
      <c r="Q50" s="103">
        <v>4242887.8313519014</v>
      </c>
      <c r="R50" s="103">
        <v>1383664.4317045601</v>
      </c>
      <c r="S50" s="103">
        <v>11423618.144272044</v>
      </c>
      <c r="T50" s="1"/>
      <c r="U50" s="1"/>
      <c r="V50" s="103">
        <v>1121582.7055441441</v>
      </c>
      <c r="Z50" s="47"/>
    </row>
    <row r="51" spans="1:26" s="44" customFormat="1" ht="15.75" x14ac:dyDescent="0.25">
      <c r="A51" s="5">
        <v>46508</v>
      </c>
      <c r="B51" s="100">
        <v>19310789.464671493</v>
      </c>
      <c r="C51" s="100">
        <v>6155987.3476841552</v>
      </c>
      <c r="D51" s="100">
        <v>25466776.812355649</v>
      </c>
      <c r="E51" s="100">
        <v>108662540.20096441</v>
      </c>
      <c r="F51" s="99">
        <v>829777222.75918996</v>
      </c>
      <c r="G51" s="100">
        <v>4535005.9137980351</v>
      </c>
      <c r="H51" s="100">
        <v>1474283.10752051</v>
      </c>
      <c r="I51" s="100">
        <v>88928432.814062729</v>
      </c>
      <c r="J51" s="8">
        <v>740848789.94512725</v>
      </c>
      <c r="K51" s="8">
        <v>134129317.01332006</v>
      </c>
      <c r="L51" s="8">
        <v>114671829.22228295</v>
      </c>
      <c r="M51" s="100">
        <v>5469499.8180605322</v>
      </c>
      <c r="N51" s="100">
        <v>172238054.98502359</v>
      </c>
      <c r="O51" s="100">
        <v>177707554.80308414</v>
      </c>
      <c r="P51" s="103">
        <v>563141235.14204311</v>
      </c>
      <c r="Q51" s="103">
        <v>4381926.7889757389</v>
      </c>
      <c r="R51" s="103">
        <v>1383664.4317045601</v>
      </c>
      <c r="S51" s="103">
        <v>11774880.241998844</v>
      </c>
      <c r="T51" s="1"/>
      <c r="U51" s="1"/>
      <c r="V51" s="103">
        <v>1158336.8448158614</v>
      </c>
      <c r="Z51" s="47"/>
    </row>
    <row r="52" spans="1:26" s="44" customFormat="1" ht="15.75" x14ac:dyDescent="0.25">
      <c r="A52" s="104">
        <v>46539</v>
      </c>
      <c r="B52" s="105">
        <v>19310789.464671493</v>
      </c>
      <c r="C52" s="105">
        <v>6155987.3476841552</v>
      </c>
      <c r="D52" s="105">
        <v>25466776.812355649</v>
      </c>
      <c r="E52" s="105">
        <v>112442705.0589475</v>
      </c>
      <c r="F52" s="106">
        <v>859024164.42952871</v>
      </c>
      <c r="G52" s="105">
        <v>4695929.1593369637</v>
      </c>
      <c r="H52" s="105">
        <v>1525583.0020845444</v>
      </c>
      <c r="I52" s="105">
        <v>95149944.975484237</v>
      </c>
      <c r="J52" s="107">
        <v>763874219.45404434</v>
      </c>
      <c r="K52" s="107">
        <v>137909481.87130314</v>
      </c>
      <c r="L52" s="107">
        <v>118664217.22036901</v>
      </c>
      <c r="M52" s="105">
        <v>5409843.8933775844</v>
      </c>
      <c r="N52" s="105">
        <v>177707554.80308414</v>
      </c>
      <c r="O52" s="105">
        <v>183117398.69646171</v>
      </c>
      <c r="P52" s="108">
        <v>580756820.75758266</v>
      </c>
      <c r="Q52" s="108">
        <v>4518997.5657103863</v>
      </c>
      <c r="R52" s="108">
        <v>1383664.4317045601</v>
      </c>
      <c r="S52" s="108">
        <v>12124174.158836454</v>
      </c>
      <c r="T52" s="1"/>
      <c r="U52" s="1"/>
      <c r="V52" s="108">
        <v>1194570.7069239009</v>
      </c>
      <c r="Z52" s="47"/>
    </row>
    <row r="53" spans="1:26" s="44" customFormat="1" ht="15.75" x14ac:dyDescent="0.25">
      <c r="A53" s="5">
        <v>46569</v>
      </c>
      <c r="B53" s="100">
        <v>0</v>
      </c>
      <c r="C53" s="100">
        <v>0</v>
      </c>
      <c r="D53" s="100">
        <v>0</v>
      </c>
      <c r="E53" s="100">
        <v>116122497.30238578</v>
      </c>
      <c r="F53" s="99">
        <v>862703956.67296696</v>
      </c>
      <c r="G53" s="100">
        <v>4695929.1593369637</v>
      </c>
      <c r="H53" s="100">
        <v>1525583.0020845444</v>
      </c>
      <c r="I53" s="100">
        <v>101371457.13690574</v>
      </c>
      <c r="J53" s="8">
        <v>761332499.53606117</v>
      </c>
      <c r="K53" s="8">
        <v>116122497.30238578</v>
      </c>
      <c r="L53" s="8">
        <v>122344009.46380728</v>
      </c>
      <c r="M53" s="100">
        <v>-1748867.068575586</v>
      </c>
      <c r="N53" s="100">
        <v>183117398.69646171</v>
      </c>
      <c r="O53" s="100">
        <v>181368531.62788612</v>
      </c>
      <c r="P53" s="103">
        <v>579963967.90817499</v>
      </c>
      <c r="Q53" s="103">
        <v>4512828.2019278556</v>
      </c>
      <c r="R53" s="103">
        <v>0</v>
      </c>
      <c r="S53" s="103">
        <v>10734340.363349363</v>
      </c>
      <c r="T53" s="1"/>
      <c r="U53" s="1"/>
      <c r="V53" s="103">
        <v>1192939.8715123285</v>
      </c>
      <c r="Z53" s="47"/>
    </row>
    <row r="54" spans="1:26" s="44" customFormat="1" ht="15.75" x14ac:dyDescent="0.25">
      <c r="A54" s="5">
        <v>46600</v>
      </c>
      <c r="B54" s="100">
        <v>0</v>
      </c>
      <c r="C54" s="100">
        <v>0</v>
      </c>
      <c r="D54" s="100">
        <v>0</v>
      </c>
      <c r="E54" s="100">
        <v>119701916.93127936</v>
      </c>
      <c r="F54" s="99">
        <v>866283376.30186057</v>
      </c>
      <c r="G54" s="100">
        <v>4695929.1593369637</v>
      </c>
      <c r="H54" s="100">
        <v>1525583.0020845444</v>
      </c>
      <c r="I54" s="100">
        <v>107592969.29832725</v>
      </c>
      <c r="J54" s="8">
        <v>758690407.00353336</v>
      </c>
      <c r="K54" s="8">
        <v>119701916.93127936</v>
      </c>
      <c r="L54" s="8">
        <v>125923429.09270087</v>
      </c>
      <c r="M54" s="100">
        <v>-1748867.068575586</v>
      </c>
      <c r="N54" s="100">
        <v>181368531.62788612</v>
      </c>
      <c r="O54" s="100">
        <v>179619664.55931053</v>
      </c>
      <c r="P54" s="103">
        <v>579070742.44422281</v>
      </c>
      <c r="Q54" s="103">
        <v>4505877.8165807407</v>
      </c>
      <c r="R54" s="103">
        <v>0</v>
      </c>
      <c r="S54" s="103">
        <v>10727389.978002248</v>
      </c>
      <c r="T54" s="1"/>
      <c r="U54" s="1"/>
      <c r="V54" s="103">
        <v>1191102.5775955324</v>
      </c>
      <c r="Z54" s="47"/>
    </row>
    <row r="55" spans="1:26" s="44" customFormat="1" ht="15.75" x14ac:dyDescent="0.25">
      <c r="A55" s="104">
        <v>46631</v>
      </c>
      <c r="B55" s="105">
        <v>0</v>
      </c>
      <c r="C55" s="105">
        <v>0</v>
      </c>
      <c r="D55" s="105">
        <v>0</v>
      </c>
      <c r="E55" s="105">
        <v>123180963.94562811</v>
      </c>
      <c r="F55" s="106">
        <v>869762423.31620932</v>
      </c>
      <c r="G55" s="105">
        <v>4695929.1593369637</v>
      </c>
      <c r="H55" s="105">
        <v>1525583.0020845444</v>
      </c>
      <c r="I55" s="105">
        <v>113814481.45974876</v>
      </c>
      <c r="J55" s="107">
        <v>755947941.85646057</v>
      </c>
      <c r="K55" s="107">
        <v>123180963.94562811</v>
      </c>
      <c r="L55" s="107">
        <v>129402476.10704961</v>
      </c>
      <c r="M55" s="105">
        <v>-1748867.068575586</v>
      </c>
      <c r="N55" s="105">
        <v>179619664.55931053</v>
      </c>
      <c r="O55" s="105">
        <v>177870797.49073493</v>
      </c>
      <c r="P55" s="108">
        <v>578077144.36572564</v>
      </c>
      <c r="Q55" s="108">
        <v>4498146.4096690388</v>
      </c>
      <c r="R55" s="108">
        <v>0</v>
      </c>
      <c r="S55" s="108">
        <v>10719658.571090546</v>
      </c>
      <c r="T55" s="1"/>
      <c r="U55" s="1"/>
      <c r="V55" s="103">
        <v>1189058.8251735112</v>
      </c>
      <c r="Z55" s="47"/>
    </row>
    <row r="56" spans="1:26" s="44" customFormat="1" ht="15.75" x14ac:dyDescent="0.25">
      <c r="A56" s="5">
        <v>46661</v>
      </c>
      <c r="B56" s="100">
        <v>0</v>
      </c>
      <c r="C56" s="100">
        <v>0</v>
      </c>
      <c r="D56" s="100">
        <v>0</v>
      </c>
      <c r="E56" s="100">
        <v>126559638.34543218</v>
      </c>
      <c r="F56" s="99">
        <v>873141097.71601331</v>
      </c>
      <c r="G56" s="100">
        <v>4695929.1593369637</v>
      </c>
      <c r="H56" s="100">
        <v>1525583.0020845444</v>
      </c>
      <c r="I56" s="100">
        <v>120035993.62117027</v>
      </c>
      <c r="J56" s="8">
        <v>753105104.09484303</v>
      </c>
      <c r="K56" s="8">
        <v>126559638.34543218</v>
      </c>
      <c r="L56" s="8">
        <v>132781150.50685368</v>
      </c>
      <c r="M56" s="100">
        <v>-1748867.068575586</v>
      </c>
      <c r="N56" s="100">
        <v>177870797.49073493</v>
      </c>
      <c r="O56" s="100">
        <v>176121930.42215934</v>
      </c>
      <c r="P56" s="103">
        <v>576983173.67268372</v>
      </c>
      <c r="Q56" s="103">
        <v>4489633.9811927509</v>
      </c>
      <c r="R56" s="103">
        <v>0</v>
      </c>
      <c r="S56" s="103">
        <v>10711146.142614258</v>
      </c>
      <c r="T56" s="1"/>
      <c r="U56" s="1"/>
      <c r="V56" s="103">
        <v>1186808.6142462657</v>
      </c>
      <c r="Z56" s="47"/>
    </row>
    <row r="57" spans="1:26" s="44" customFormat="1" ht="15.75" x14ac:dyDescent="0.25">
      <c r="A57" s="5">
        <v>46692</v>
      </c>
      <c r="B57" s="100">
        <v>0</v>
      </c>
      <c r="C57" s="100">
        <v>0</v>
      </c>
      <c r="D57" s="100">
        <v>0</v>
      </c>
      <c r="E57" s="100">
        <v>129837940.13069142</v>
      </c>
      <c r="F57" s="99">
        <v>876419399.50127256</v>
      </c>
      <c r="G57" s="100">
        <v>4695929.1593369637</v>
      </c>
      <c r="H57" s="100">
        <v>1525583.0020845444</v>
      </c>
      <c r="I57" s="100">
        <v>126257505.78259178</v>
      </c>
      <c r="J57" s="8">
        <v>750161893.71868074</v>
      </c>
      <c r="K57" s="8">
        <v>129837940.13069142</v>
      </c>
      <c r="L57" s="8">
        <v>136059452.29211295</v>
      </c>
      <c r="M57" s="100">
        <v>-1748867.0685755902</v>
      </c>
      <c r="N57" s="100">
        <v>176121930.42215934</v>
      </c>
      <c r="O57" s="100">
        <v>174373063.35358375</v>
      </c>
      <c r="P57" s="103">
        <v>575788830.36509705</v>
      </c>
      <c r="Q57" s="103">
        <v>4480340.5311518786</v>
      </c>
      <c r="R57" s="103">
        <v>0</v>
      </c>
      <c r="S57" s="103">
        <v>10701852.692573387</v>
      </c>
      <c r="T57" s="1"/>
      <c r="U57" s="1"/>
      <c r="V57" s="103">
        <v>1184351.9448137956</v>
      </c>
      <c r="Z57" s="47"/>
    </row>
    <row r="58" spans="1:26" s="44" customFormat="1" ht="15.75" x14ac:dyDescent="0.25">
      <c r="A58" s="104">
        <v>46722</v>
      </c>
      <c r="B58" s="105">
        <v>0</v>
      </c>
      <c r="C58" s="105">
        <v>0</v>
      </c>
      <c r="D58" s="105">
        <v>0</v>
      </c>
      <c r="E58" s="105">
        <v>133015869.30140594</v>
      </c>
      <c r="F58" s="106">
        <v>879597328.67198706</v>
      </c>
      <c r="G58" s="105">
        <v>4695929.1593369637</v>
      </c>
      <c r="H58" s="105">
        <v>1525583.0020845444</v>
      </c>
      <c r="I58" s="105">
        <v>132479017.94401328</v>
      </c>
      <c r="J58" s="107">
        <v>747118310.72797382</v>
      </c>
      <c r="K58" s="107">
        <v>133015869.30140594</v>
      </c>
      <c r="L58" s="107">
        <v>139237381.46282744</v>
      </c>
      <c r="M58" s="105">
        <v>-1748867.068575586</v>
      </c>
      <c r="N58" s="105">
        <v>174373063.35358375</v>
      </c>
      <c r="O58" s="105">
        <v>172624196.28500816</v>
      </c>
      <c r="P58" s="108">
        <v>574494114.44296563</v>
      </c>
      <c r="Q58" s="108">
        <v>4470266.0595464204</v>
      </c>
      <c r="R58" s="108">
        <v>0</v>
      </c>
      <c r="S58" s="108">
        <v>10691778.220967928</v>
      </c>
      <c r="T58" s="1"/>
      <c r="U58" s="1"/>
      <c r="V58" s="103">
        <v>1181688.8168761011</v>
      </c>
      <c r="Z58" s="47"/>
    </row>
    <row r="59" spans="1:26" s="44" customFormat="1" ht="15.75" x14ac:dyDescent="0.25">
      <c r="A59" s="5">
        <v>46753</v>
      </c>
      <c r="B59" s="100">
        <v>0</v>
      </c>
      <c r="C59" s="100">
        <v>0</v>
      </c>
      <c r="D59" s="100">
        <v>0</v>
      </c>
      <c r="E59" s="100">
        <v>130071068.98488998</v>
      </c>
      <c r="F59" s="99">
        <v>876652528.35547113</v>
      </c>
      <c r="G59" s="100">
        <v>4695929.1593369637</v>
      </c>
      <c r="H59" s="100">
        <v>1525583.0020845444</v>
      </c>
      <c r="I59" s="100">
        <v>138700530.10543481</v>
      </c>
      <c r="J59" s="8">
        <v>737951998.25003636</v>
      </c>
      <c r="K59" s="8">
        <v>130071068.98488998</v>
      </c>
      <c r="L59" s="8">
        <v>136292581.14631149</v>
      </c>
      <c r="M59" s="100">
        <v>-1748867.068575586</v>
      </c>
      <c r="N59" s="100">
        <v>172624196.28500816</v>
      </c>
      <c r="O59" s="100">
        <v>170875329.21643257</v>
      </c>
      <c r="P59" s="103">
        <v>567076669.03360379</v>
      </c>
      <c r="Q59" s="103">
        <v>4412549.2725012498</v>
      </c>
      <c r="R59" s="103">
        <v>0</v>
      </c>
      <c r="S59" s="103">
        <v>10634061.433922756</v>
      </c>
      <c r="T59" s="1"/>
      <c r="U59" s="1"/>
      <c r="V59" s="103">
        <v>1166431.7201197129</v>
      </c>
      <c r="Z59" s="47"/>
    </row>
    <row r="60" spans="1:26" s="44" customFormat="1" ht="15.75" x14ac:dyDescent="0.25">
      <c r="A60" s="5">
        <v>46784</v>
      </c>
      <c r="B60" s="100">
        <v>0</v>
      </c>
      <c r="C60" s="100">
        <v>0</v>
      </c>
      <c r="D60" s="100">
        <v>0</v>
      </c>
      <c r="E60" s="100">
        <v>127126268.66837403</v>
      </c>
      <c r="F60" s="99">
        <v>873707728.03895521</v>
      </c>
      <c r="G60" s="100">
        <v>4695929.1593369637</v>
      </c>
      <c r="H60" s="100">
        <v>1525583.0020845444</v>
      </c>
      <c r="I60" s="100">
        <v>144922042.26685631</v>
      </c>
      <c r="J60" s="8">
        <v>728785685.7720989</v>
      </c>
      <c r="K60" s="8">
        <v>127126268.66837403</v>
      </c>
      <c r="L60" s="8">
        <v>133347780.82979554</v>
      </c>
      <c r="M60" s="100">
        <v>-1748867.068575586</v>
      </c>
      <c r="N60" s="100">
        <v>170875329.21643257</v>
      </c>
      <c r="O60" s="100">
        <v>169126462.14785698</v>
      </c>
      <c r="P60" s="103">
        <v>559659223.62424195</v>
      </c>
      <c r="Q60" s="103">
        <v>4354832.4854560792</v>
      </c>
      <c r="R60" s="103">
        <v>0</v>
      </c>
      <c r="S60" s="103">
        <v>10576344.646877587</v>
      </c>
      <c r="T60" s="1"/>
      <c r="U60" s="1"/>
      <c r="V60" s="103">
        <v>1151174.6233633247</v>
      </c>
      <c r="Z60" s="47"/>
    </row>
    <row r="61" spans="1:26" s="44" customFormat="1" ht="15.75" x14ac:dyDescent="0.25">
      <c r="A61" s="104">
        <v>46813</v>
      </c>
      <c r="B61" s="105">
        <v>0</v>
      </c>
      <c r="C61" s="105">
        <v>0</v>
      </c>
      <c r="D61" s="105">
        <v>0</v>
      </c>
      <c r="E61" s="105">
        <v>124181468.35185806</v>
      </c>
      <c r="F61" s="106">
        <v>870762927.72243917</v>
      </c>
      <c r="G61" s="105">
        <v>4695929.1593369637</v>
      </c>
      <c r="H61" s="105">
        <v>1525583.0020845444</v>
      </c>
      <c r="I61" s="105">
        <v>151143554.42827782</v>
      </c>
      <c r="J61" s="107">
        <v>719619373.29416132</v>
      </c>
      <c r="K61" s="107">
        <v>124181468.35185806</v>
      </c>
      <c r="L61" s="107">
        <v>130402980.51327957</v>
      </c>
      <c r="M61" s="105">
        <v>-1748867.068575586</v>
      </c>
      <c r="N61" s="105">
        <v>169126462.14785698</v>
      </c>
      <c r="O61" s="105">
        <v>167377595.07928139</v>
      </c>
      <c r="P61" s="108">
        <v>552241778.21487999</v>
      </c>
      <c r="Q61" s="108">
        <v>4297115.6984109068</v>
      </c>
      <c r="R61" s="108">
        <v>0</v>
      </c>
      <c r="S61" s="108">
        <v>10518627.859832413</v>
      </c>
      <c r="T61" s="1"/>
      <c r="U61" s="1"/>
      <c r="V61" s="103">
        <v>1135917.5266069362</v>
      </c>
      <c r="Z61" s="47"/>
    </row>
    <row r="62" spans="1:26" s="44" customFormat="1" ht="15.75" x14ac:dyDescent="0.25">
      <c r="A62" s="5">
        <v>46844</v>
      </c>
      <c r="B62" s="100">
        <v>0</v>
      </c>
      <c r="C62" s="100">
        <v>0</v>
      </c>
      <c r="D62" s="100">
        <v>0</v>
      </c>
      <c r="E62" s="100">
        <v>121236668.03534207</v>
      </c>
      <c r="F62" s="99">
        <v>867818127.40592325</v>
      </c>
      <c r="G62" s="100">
        <v>4695929.1593369637</v>
      </c>
      <c r="H62" s="100">
        <v>1525583.0020845444</v>
      </c>
      <c r="I62" s="100">
        <v>157365066.58969933</v>
      </c>
      <c r="J62" s="8">
        <v>710453060.81622398</v>
      </c>
      <c r="K62" s="8">
        <v>121236668.03534207</v>
      </c>
      <c r="L62" s="8">
        <v>127458180.19676358</v>
      </c>
      <c r="M62" s="100">
        <v>-1748867.068575586</v>
      </c>
      <c r="N62" s="100">
        <v>167377595.07928139</v>
      </c>
      <c r="O62" s="100">
        <v>165628728.0107058</v>
      </c>
      <c r="P62" s="103">
        <v>544824332.80551815</v>
      </c>
      <c r="Q62" s="103">
        <v>4239398.9113657363</v>
      </c>
      <c r="R62" s="103">
        <v>0</v>
      </c>
      <c r="S62" s="103">
        <v>10460911.072787244</v>
      </c>
      <c r="T62" s="1"/>
      <c r="U62" s="1"/>
      <c r="V62" s="103">
        <v>1120660.4298505483</v>
      </c>
      <c r="Z62" s="47"/>
    </row>
    <row r="63" spans="1:26" s="44" customFormat="1" ht="15.75" x14ac:dyDescent="0.25">
      <c r="A63" s="5">
        <v>46874</v>
      </c>
      <c r="B63" s="100">
        <v>0</v>
      </c>
      <c r="C63" s="100">
        <v>0</v>
      </c>
      <c r="D63" s="100">
        <v>0</v>
      </c>
      <c r="E63" s="100">
        <v>118291867.71882612</v>
      </c>
      <c r="F63" s="99">
        <v>864873327.08940721</v>
      </c>
      <c r="G63" s="100">
        <v>4695929.1593369637</v>
      </c>
      <c r="H63" s="100">
        <v>1525583.0020845444</v>
      </c>
      <c r="I63" s="100">
        <v>163586578.75112084</v>
      </c>
      <c r="J63" s="8">
        <v>701286748.3382864</v>
      </c>
      <c r="K63" s="8">
        <v>118291867.71882612</v>
      </c>
      <c r="L63" s="8">
        <v>124513379.88024762</v>
      </c>
      <c r="M63" s="100">
        <v>-1748867.068575586</v>
      </c>
      <c r="N63" s="100">
        <v>165628728.0107058</v>
      </c>
      <c r="O63" s="100">
        <v>163879860.94213021</v>
      </c>
      <c r="P63" s="103">
        <v>537406887.39615619</v>
      </c>
      <c r="Q63" s="103">
        <v>4181682.1243205643</v>
      </c>
      <c r="R63" s="103">
        <v>0</v>
      </c>
      <c r="S63" s="103">
        <v>10403194.285742072</v>
      </c>
      <c r="T63" s="1"/>
      <c r="U63" s="1"/>
      <c r="V63" s="103">
        <v>1105403.3330941598</v>
      </c>
      <c r="Z63" s="47"/>
    </row>
    <row r="64" spans="1:26" s="44" customFormat="1" ht="15.75" x14ac:dyDescent="0.25">
      <c r="A64" s="104">
        <v>46905</v>
      </c>
      <c r="B64" s="105">
        <v>0</v>
      </c>
      <c r="C64" s="105">
        <v>0</v>
      </c>
      <c r="D64" s="105">
        <v>0</v>
      </c>
      <c r="E64" s="105">
        <v>115347067.40231016</v>
      </c>
      <c r="F64" s="106">
        <v>861928526.77289128</v>
      </c>
      <c r="G64" s="105">
        <v>4695929.1593369637</v>
      </c>
      <c r="H64" s="105">
        <v>1525583.0020845444</v>
      </c>
      <c r="I64" s="105">
        <v>169808090.91254234</v>
      </c>
      <c r="J64" s="107">
        <v>692120435.86034894</v>
      </c>
      <c r="K64" s="107">
        <v>115347067.40231016</v>
      </c>
      <c r="L64" s="107">
        <v>121568579.56373167</v>
      </c>
      <c r="M64" s="105">
        <v>-1748867.068575586</v>
      </c>
      <c r="N64" s="105">
        <v>163879860.94213021</v>
      </c>
      <c r="O64" s="105">
        <v>162130993.87355462</v>
      </c>
      <c r="P64" s="108">
        <v>529989441.98679435</v>
      </c>
      <c r="Q64" s="108">
        <v>4123965.3372753938</v>
      </c>
      <c r="R64" s="108">
        <v>0</v>
      </c>
      <c r="S64" s="108">
        <v>10345477.498696901</v>
      </c>
      <c r="T64" s="1"/>
      <c r="U64" s="1"/>
      <c r="V64" s="103">
        <v>1090146.2363377716</v>
      </c>
      <c r="Z64" s="47"/>
    </row>
    <row r="65" spans="1:26" s="44" customFormat="1" ht="15.75" x14ac:dyDescent="0.25">
      <c r="A65" s="5">
        <v>46935</v>
      </c>
      <c r="B65" s="100">
        <v>0</v>
      </c>
      <c r="C65" s="100">
        <v>0</v>
      </c>
      <c r="D65" s="100">
        <v>0</v>
      </c>
      <c r="E65" s="100">
        <v>112402267.08579418</v>
      </c>
      <c r="F65" s="99">
        <v>858983726.45637536</v>
      </c>
      <c r="G65" s="100">
        <v>4695929.1593369637</v>
      </c>
      <c r="H65" s="100">
        <v>1525583.0020845444</v>
      </c>
      <c r="I65" s="100">
        <v>176029603.07396385</v>
      </c>
      <c r="J65" s="8">
        <v>682954123.38241148</v>
      </c>
      <c r="K65" s="8">
        <v>112402267.08579418</v>
      </c>
      <c r="L65" s="8">
        <v>118623779.24721569</v>
      </c>
      <c r="M65" s="100">
        <v>-1748867.068575586</v>
      </c>
      <c r="N65" s="100">
        <v>162130993.87355462</v>
      </c>
      <c r="O65" s="100">
        <v>160382126.80497903</v>
      </c>
      <c r="P65" s="103">
        <v>522571996.57743245</v>
      </c>
      <c r="Q65" s="103">
        <v>4066248.5502302223</v>
      </c>
      <c r="R65" s="103">
        <v>0</v>
      </c>
      <c r="S65" s="103">
        <v>10287760.711651729</v>
      </c>
      <c r="T65" s="1"/>
      <c r="U65" s="1"/>
      <c r="V65" s="103">
        <v>1074889.1395813834</v>
      </c>
      <c r="Z65" s="47"/>
    </row>
    <row r="66" spans="1:26" s="44" customFormat="1" ht="15.75" x14ac:dyDescent="0.25">
      <c r="A66" s="5">
        <v>46966</v>
      </c>
      <c r="B66" s="100">
        <v>0</v>
      </c>
      <c r="C66" s="100">
        <v>0</v>
      </c>
      <c r="D66" s="100">
        <v>0</v>
      </c>
      <c r="E66" s="100">
        <v>109457466.76927823</v>
      </c>
      <c r="F66" s="99">
        <v>856038926.13985944</v>
      </c>
      <c r="G66" s="100">
        <v>4695929.1593369637</v>
      </c>
      <c r="H66" s="100">
        <v>1525583.0020845444</v>
      </c>
      <c r="I66" s="100">
        <v>182251115.23538536</v>
      </c>
      <c r="J66" s="8">
        <v>673787810.90447402</v>
      </c>
      <c r="K66" s="8">
        <v>109457466.76927823</v>
      </c>
      <c r="L66" s="8">
        <v>115678978.93069974</v>
      </c>
      <c r="M66" s="100">
        <v>-1748867.068575586</v>
      </c>
      <c r="N66" s="100">
        <v>160382126.80497903</v>
      </c>
      <c r="O66" s="100">
        <v>158633259.73640344</v>
      </c>
      <c r="P66" s="103">
        <v>515154551.16807055</v>
      </c>
      <c r="Q66" s="103">
        <v>4008531.7631850513</v>
      </c>
      <c r="R66" s="103">
        <v>0</v>
      </c>
      <c r="S66" s="103">
        <v>10230043.924606558</v>
      </c>
      <c r="T66" s="1"/>
      <c r="U66" s="1"/>
      <c r="V66" s="103">
        <v>1059632.042824995</v>
      </c>
      <c r="Z66" s="47"/>
    </row>
    <row r="67" spans="1:26" s="44" customFormat="1" ht="15.75" x14ac:dyDescent="0.25">
      <c r="A67" s="104">
        <v>46997</v>
      </c>
      <c r="B67" s="105">
        <v>0</v>
      </c>
      <c r="C67" s="105">
        <v>0</v>
      </c>
      <c r="D67" s="105">
        <v>0</v>
      </c>
      <c r="E67" s="105">
        <v>106512666.45276225</v>
      </c>
      <c r="F67" s="106">
        <v>853094125.8233434</v>
      </c>
      <c r="G67" s="105">
        <v>4695929.1593369637</v>
      </c>
      <c r="H67" s="105">
        <v>1525583.0020845444</v>
      </c>
      <c r="I67" s="105">
        <v>188472627.39680687</v>
      </c>
      <c r="J67" s="107">
        <v>664621498.42653656</v>
      </c>
      <c r="K67" s="107">
        <v>106512666.45276225</v>
      </c>
      <c r="L67" s="107">
        <v>112734178.61418375</v>
      </c>
      <c r="M67" s="105">
        <v>-1748867.068575586</v>
      </c>
      <c r="N67" s="105">
        <v>158633259.73640344</v>
      </c>
      <c r="O67" s="105">
        <v>156884392.66782784</v>
      </c>
      <c r="P67" s="108">
        <v>507737105.75870872</v>
      </c>
      <c r="Q67" s="108">
        <v>3950814.9761398803</v>
      </c>
      <c r="R67" s="108">
        <v>0</v>
      </c>
      <c r="S67" s="108">
        <v>10172327.137561388</v>
      </c>
      <c r="T67" s="1"/>
      <c r="U67" s="1"/>
      <c r="V67" s="103">
        <v>1044374.9460686069</v>
      </c>
      <c r="Z67" s="47"/>
    </row>
    <row r="68" spans="1:26" s="44" customFormat="1" ht="15.75" x14ac:dyDescent="0.25">
      <c r="A68" s="5">
        <v>47027</v>
      </c>
      <c r="B68" s="100">
        <v>0</v>
      </c>
      <c r="C68" s="100">
        <v>0</v>
      </c>
      <c r="D68" s="100">
        <v>0</v>
      </c>
      <c r="E68" s="100">
        <v>103567866.13624634</v>
      </c>
      <c r="F68" s="99">
        <v>850149325.50682747</v>
      </c>
      <c r="G68" s="100">
        <v>4695929.1593369637</v>
      </c>
      <c r="H68" s="100">
        <v>1525583.0020845444</v>
      </c>
      <c r="I68" s="100">
        <v>194694139.55822837</v>
      </c>
      <c r="J68" s="8">
        <v>655455185.9485991</v>
      </c>
      <c r="K68" s="8">
        <v>103567866.13624634</v>
      </c>
      <c r="L68" s="8">
        <v>109789378.29766785</v>
      </c>
      <c r="M68" s="100">
        <v>-1748867.068575586</v>
      </c>
      <c r="N68" s="100">
        <v>156884392.66782784</v>
      </c>
      <c r="O68" s="100">
        <v>155135525.59925225</v>
      </c>
      <c r="P68" s="103">
        <v>500319660.34934688</v>
      </c>
      <c r="Q68" s="103">
        <v>3893098.1890947097</v>
      </c>
      <c r="R68" s="103">
        <v>0</v>
      </c>
      <c r="S68" s="103">
        <v>10114610.350516217</v>
      </c>
      <c r="T68" s="1"/>
      <c r="U68" s="1"/>
      <c r="V68" s="103">
        <v>1029117.8493122188</v>
      </c>
      <c r="Z68" s="47"/>
    </row>
    <row r="69" spans="1:26" s="44" customFormat="1" ht="15.75" x14ac:dyDescent="0.25">
      <c r="A69" s="5">
        <v>47058</v>
      </c>
      <c r="B69" s="100">
        <v>0</v>
      </c>
      <c r="C69" s="100">
        <v>0</v>
      </c>
      <c r="D69" s="100">
        <v>0</v>
      </c>
      <c r="E69" s="100">
        <v>100623065.81973036</v>
      </c>
      <c r="F69" s="99">
        <v>847204525.19031155</v>
      </c>
      <c r="G69" s="100">
        <v>4695929.1593369637</v>
      </c>
      <c r="H69" s="100">
        <v>1525583.0020845444</v>
      </c>
      <c r="I69" s="100">
        <v>200915651.71964988</v>
      </c>
      <c r="J69" s="8">
        <v>646288873.47066164</v>
      </c>
      <c r="K69" s="8">
        <v>100623065.81973036</v>
      </c>
      <c r="L69" s="8">
        <v>106844577.98115186</v>
      </c>
      <c r="M69" s="100">
        <v>-1748867.068575586</v>
      </c>
      <c r="N69" s="100">
        <v>155135525.59925225</v>
      </c>
      <c r="O69" s="100">
        <v>153386658.53067666</v>
      </c>
      <c r="P69" s="103">
        <v>492902214.93998498</v>
      </c>
      <c r="Q69" s="103">
        <v>3835381.4020495382</v>
      </c>
      <c r="R69" s="103">
        <v>0</v>
      </c>
      <c r="S69" s="103">
        <v>10056893.563471045</v>
      </c>
      <c r="T69" s="1"/>
      <c r="U69" s="1"/>
      <c r="V69" s="103">
        <v>1013860.7525558305</v>
      </c>
      <c r="Z69" s="47"/>
    </row>
    <row r="70" spans="1:26" s="44" customFormat="1" ht="15.75" x14ac:dyDescent="0.25">
      <c r="A70" s="104">
        <v>47088</v>
      </c>
      <c r="B70" s="105">
        <v>0</v>
      </c>
      <c r="C70" s="105">
        <v>0</v>
      </c>
      <c r="D70" s="105">
        <v>0</v>
      </c>
      <c r="E70" s="105">
        <v>97678265.503214389</v>
      </c>
      <c r="F70" s="106">
        <v>844259724.87379551</v>
      </c>
      <c r="G70" s="105">
        <v>4695929.1593369637</v>
      </c>
      <c r="H70" s="105">
        <v>1525583.0020845444</v>
      </c>
      <c r="I70" s="105">
        <v>207137163.88107139</v>
      </c>
      <c r="J70" s="107">
        <v>637122560.99272418</v>
      </c>
      <c r="K70" s="107">
        <v>97678265.503214389</v>
      </c>
      <c r="L70" s="107">
        <v>103899777.6646359</v>
      </c>
      <c r="M70" s="105">
        <v>-1748867.068575586</v>
      </c>
      <c r="N70" s="105">
        <v>153386658.53067666</v>
      </c>
      <c r="O70" s="105">
        <v>151637791.46210107</v>
      </c>
      <c r="P70" s="108">
        <v>485484769.53062308</v>
      </c>
      <c r="Q70" s="108">
        <v>3777664.6150043672</v>
      </c>
      <c r="R70" s="108">
        <v>0</v>
      </c>
      <c r="S70" s="108">
        <v>9999176.7764258757</v>
      </c>
      <c r="T70" s="1"/>
      <c r="U70" s="1"/>
      <c r="V70" s="103">
        <v>998603.65579944232</v>
      </c>
      <c r="Z70" s="47"/>
    </row>
    <row r="71" spans="1:26" s="44" customFormat="1" ht="15.75" x14ac:dyDescent="0.25">
      <c r="A71" s="5">
        <v>47119</v>
      </c>
      <c r="B71" s="100">
        <v>0</v>
      </c>
      <c r="C71" s="100">
        <v>0</v>
      </c>
      <c r="D71" s="100">
        <v>0</v>
      </c>
      <c r="E71" s="100">
        <v>94733465.186698422</v>
      </c>
      <c r="F71" s="99">
        <v>841314924.55727959</v>
      </c>
      <c r="G71" s="100">
        <v>4695929.1593369637</v>
      </c>
      <c r="H71" s="100">
        <v>1525583.0020845444</v>
      </c>
      <c r="I71" s="100">
        <v>213358676.0424929</v>
      </c>
      <c r="J71" s="8">
        <v>627956248.51478672</v>
      </c>
      <c r="K71" s="8">
        <v>94733465.186698422</v>
      </c>
      <c r="L71" s="8">
        <v>100954977.34811993</v>
      </c>
      <c r="M71" s="100">
        <v>-1748867.068575586</v>
      </c>
      <c r="N71" s="100">
        <v>151637791.46210107</v>
      </c>
      <c r="O71" s="100">
        <v>149888924.39352548</v>
      </c>
      <c r="P71" s="103">
        <v>478067324.12126124</v>
      </c>
      <c r="Q71" s="103">
        <v>3719947.8279591962</v>
      </c>
      <c r="R71" s="103">
        <v>0</v>
      </c>
      <c r="S71" s="103">
        <v>9941459.9893807042</v>
      </c>
      <c r="T71" s="1"/>
      <c r="U71" s="1"/>
      <c r="V71" s="103">
        <v>983346.559043054</v>
      </c>
      <c r="Z71" s="47"/>
    </row>
    <row r="72" spans="1:26" s="44" customFormat="1" ht="15.75" x14ac:dyDescent="0.25">
      <c r="A72" s="5">
        <v>47150</v>
      </c>
      <c r="B72" s="100">
        <v>0</v>
      </c>
      <c r="C72" s="100">
        <v>0</v>
      </c>
      <c r="D72" s="100">
        <v>0</v>
      </c>
      <c r="E72" s="100">
        <v>91788664.870182484</v>
      </c>
      <c r="F72" s="99">
        <v>838370124.24076366</v>
      </c>
      <c r="G72" s="100">
        <v>4695929.1593369637</v>
      </c>
      <c r="H72" s="100">
        <v>1525583.0020845444</v>
      </c>
      <c r="I72" s="100">
        <v>219580188.2039144</v>
      </c>
      <c r="J72" s="8">
        <v>618789936.03684926</v>
      </c>
      <c r="K72" s="8">
        <v>91788664.870182484</v>
      </c>
      <c r="L72" s="8">
        <v>98010177.031603992</v>
      </c>
      <c r="M72" s="100">
        <v>-1748867.068575586</v>
      </c>
      <c r="N72" s="100">
        <v>149888924.39352548</v>
      </c>
      <c r="O72" s="100">
        <v>148140057.32494989</v>
      </c>
      <c r="P72" s="103">
        <v>470649878.7118994</v>
      </c>
      <c r="Q72" s="103">
        <v>3662231.0409140252</v>
      </c>
      <c r="R72" s="103">
        <v>0</v>
      </c>
      <c r="S72" s="103">
        <v>9883743.2023355328</v>
      </c>
      <c r="T72" s="1"/>
      <c r="U72" s="1"/>
      <c r="V72" s="103">
        <v>968089.46228666592</v>
      </c>
      <c r="Z72" s="47"/>
    </row>
    <row r="73" spans="1:26" s="44" customFormat="1" ht="15.75" x14ac:dyDescent="0.25">
      <c r="A73" s="104">
        <v>47178</v>
      </c>
      <c r="B73" s="105">
        <v>0</v>
      </c>
      <c r="C73" s="105">
        <v>0</v>
      </c>
      <c r="D73" s="105">
        <v>0</v>
      </c>
      <c r="E73" s="105">
        <v>88843864.553666487</v>
      </c>
      <c r="F73" s="106">
        <v>835425323.92424762</v>
      </c>
      <c r="G73" s="105">
        <v>4695929.1593369637</v>
      </c>
      <c r="H73" s="105">
        <v>1525583.0020845444</v>
      </c>
      <c r="I73" s="105">
        <v>225801700.36533591</v>
      </c>
      <c r="J73" s="107">
        <v>609623623.55891168</v>
      </c>
      <c r="K73" s="107">
        <v>88843864.553666487</v>
      </c>
      <c r="L73" s="107">
        <v>95065376.715087995</v>
      </c>
      <c r="M73" s="105">
        <v>-1748867.068575586</v>
      </c>
      <c r="N73" s="105">
        <v>148140057.32494989</v>
      </c>
      <c r="O73" s="105">
        <v>146391190.2563743</v>
      </c>
      <c r="P73" s="108">
        <v>463232433.30253738</v>
      </c>
      <c r="Q73" s="108">
        <v>3604514.2538688532</v>
      </c>
      <c r="R73" s="108">
        <v>0</v>
      </c>
      <c r="S73" s="108">
        <v>9826026.4152903613</v>
      </c>
      <c r="T73" s="1"/>
      <c r="U73" s="1"/>
      <c r="V73" s="103">
        <v>952832.36553027725</v>
      </c>
      <c r="Z73" s="47"/>
    </row>
    <row r="74" spans="1:26" s="44" customFormat="1" ht="15.75" x14ac:dyDescent="0.25">
      <c r="A74" s="5">
        <v>47209</v>
      </c>
      <c r="B74" s="100">
        <v>0</v>
      </c>
      <c r="C74" s="100">
        <v>0</v>
      </c>
      <c r="D74" s="100">
        <v>0</v>
      </c>
      <c r="E74" s="100">
        <v>85899064.237150535</v>
      </c>
      <c r="F74" s="99">
        <v>832480523.6077317</v>
      </c>
      <c r="G74" s="100">
        <v>4695929.1593369637</v>
      </c>
      <c r="H74" s="100">
        <v>1525583.0020845444</v>
      </c>
      <c r="I74" s="100">
        <v>232023212.52675742</v>
      </c>
      <c r="J74" s="8">
        <v>600457311.08097422</v>
      </c>
      <c r="K74" s="8">
        <v>85899064.237150535</v>
      </c>
      <c r="L74" s="8">
        <v>92120576.398572043</v>
      </c>
      <c r="M74" s="100">
        <v>-1748867.068575586</v>
      </c>
      <c r="N74" s="100">
        <v>146391190.2563743</v>
      </c>
      <c r="O74" s="100">
        <v>144642323.18779871</v>
      </c>
      <c r="P74" s="103">
        <v>455814987.89317548</v>
      </c>
      <c r="Q74" s="103">
        <v>3546797.4668236817</v>
      </c>
      <c r="R74" s="103">
        <v>0</v>
      </c>
      <c r="S74" s="103">
        <v>9768309.6282451898</v>
      </c>
      <c r="T74" s="1"/>
      <c r="U74" s="1"/>
      <c r="V74" s="103">
        <v>937575.26877388905</v>
      </c>
      <c r="Z74" s="47"/>
    </row>
    <row r="75" spans="1:26" s="44" customFormat="1" ht="15.75" x14ac:dyDescent="0.25">
      <c r="A75" s="5">
        <v>47239</v>
      </c>
      <c r="B75" s="100">
        <v>0</v>
      </c>
      <c r="C75" s="100">
        <v>0</v>
      </c>
      <c r="D75" s="100">
        <v>0</v>
      </c>
      <c r="E75" s="100">
        <v>82954263.920634598</v>
      </c>
      <c r="F75" s="99">
        <v>829535723.29121578</v>
      </c>
      <c r="G75" s="100">
        <v>4695929.1593369637</v>
      </c>
      <c r="H75" s="100">
        <v>1525583.0020845444</v>
      </c>
      <c r="I75" s="100">
        <v>238244724.68817893</v>
      </c>
      <c r="J75" s="8">
        <v>591290998.60303688</v>
      </c>
      <c r="K75" s="8">
        <v>82954263.920634598</v>
      </c>
      <c r="L75" s="8">
        <v>89175776.082056105</v>
      </c>
      <c r="M75" s="100">
        <v>-1748867.068575586</v>
      </c>
      <c r="N75" s="100">
        <v>144642323.18779871</v>
      </c>
      <c r="O75" s="100">
        <v>142893456.11922312</v>
      </c>
      <c r="P75" s="103">
        <v>448397542.48381376</v>
      </c>
      <c r="Q75" s="103">
        <v>3489080.6797785121</v>
      </c>
      <c r="R75" s="103">
        <v>0</v>
      </c>
      <c r="S75" s="103">
        <v>9710592.8412000202</v>
      </c>
      <c r="T75" s="1"/>
      <c r="U75" s="1"/>
      <c r="V75" s="103">
        <v>922318.1720175012</v>
      </c>
      <c r="Z75" s="47"/>
    </row>
    <row r="76" spans="1:26" s="44" customFormat="1" ht="15.75" x14ac:dyDescent="0.25">
      <c r="A76" s="104">
        <v>47270</v>
      </c>
      <c r="B76" s="105">
        <v>0</v>
      </c>
      <c r="C76" s="105">
        <v>0</v>
      </c>
      <c r="D76" s="105">
        <v>0</v>
      </c>
      <c r="E76" s="105">
        <v>80009463.604118586</v>
      </c>
      <c r="F76" s="106">
        <v>826590922.97469974</v>
      </c>
      <c r="G76" s="105">
        <v>4695929.1593369637</v>
      </c>
      <c r="H76" s="105">
        <v>1525583.0020845444</v>
      </c>
      <c r="I76" s="105">
        <v>244466236.84960043</v>
      </c>
      <c r="J76" s="107">
        <v>582124686.1250993</v>
      </c>
      <c r="K76" s="107">
        <v>80009463.604118586</v>
      </c>
      <c r="L76" s="107">
        <v>86230975.765540093</v>
      </c>
      <c r="M76" s="105">
        <v>-1748867.068575586</v>
      </c>
      <c r="N76" s="105">
        <v>142893456.11922312</v>
      </c>
      <c r="O76" s="105">
        <v>141144589.05064753</v>
      </c>
      <c r="P76" s="108">
        <v>440980097.0744518</v>
      </c>
      <c r="Q76" s="108">
        <v>3431363.8927333402</v>
      </c>
      <c r="R76" s="108">
        <v>0</v>
      </c>
      <c r="S76" s="108">
        <v>9652876.0541548468</v>
      </c>
      <c r="T76" s="1"/>
      <c r="U76" s="1"/>
      <c r="V76" s="103">
        <v>907061.07526111277</v>
      </c>
      <c r="Z76" s="47"/>
    </row>
    <row r="77" spans="1:26" s="44" customFormat="1" ht="15.75" x14ac:dyDescent="0.25">
      <c r="A77" s="5">
        <v>47300</v>
      </c>
      <c r="B77" s="100">
        <v>0</v>
      </c>
      <c r="C77" s="100">
        <v>0</v>
      </c>
      <c r="D77" s="100">
        <v>0</v>
      </c>
      <c r="E77" s="100">
        <v>77064663.287602633</v>
      </c>
      <c r="F77" s="99">
        <v>823646122.65818381</v>
      </c>
      <c r="G77" s="100">
        <v>4695929.1593369637</v>
      </c>
      <c r="H77" s="100">
        <v>1525583.0020845444</v>
      </c>
      <c r="I77" s="100">
        <v>250687749.01102194</v>
      </c>
      <c r="J77" s="8">
        <v>572958373.64716184</v>
      </c>
      <c r="K77" s="8">
        <v>77064663.287602633</v>
      </c>
      <c r="L77" s="8">
        <v>83286175.449024141</v>
      </c>
      <c r="M77" s="100">
        <v>-1748867.068575586</v>
      </c>
      <c r="N77" s="100">
        <v>141144589.05064753</v>
      </c>
      <c r="O77" s="100">
        <v>139395721.98207194</v>
      </c>
      <c r="P77" s="103">
        <v>433562651.66508991</v>
      </c>
      <c r="Q77" s="103">
        <v>3373647.1056881691</v>
      </c>
      <c r="R77" s="103">
        <v>0</v>
      </c>
      <c r="S77" s="103">
        <v>9595159.2671096772</v>
      </c>
      <c r="T77" s="1"/>
      <c r="U77" s="1"/>
      <c r="V77" s="103">
        <v>891803.97850472445</v>
      </c>
      <c r="Z77" s="47"/>
    </row>
    <row r="78" spans="1:26" s="44" customFormat="1" ht="15.75" x14ac:dyDescent="0.25">
      <c r="A78" s="5">
        <v>47331</v>
      </c>
      <c r="B78" s="100">
        <v>0</v>
      </c>
      <c r="C78" s="100">
        <v>0</v>
      </c>
      <c r="D78" s="100">
        <v>0</v>
      </c>
      <c r="E78" s="100">
        <v>74119862.971086681</v>
      </c>
      <c r="F78" s="99">
        <v>820701322.34166789</v>
      </c>
      <c r="G78" s="100">
        <v>4695929.1593369637</v>
      </c>
      <c r="H78" s="100">
        <v>1525583.0020845444</v>
      </c>
      <c r="I78" s="100">
        <v>256909261.17244345</v>
      </c>
      <c r="J78" s="8">
        <v>563792061.16922438</v>
      </c>
      <c r="K78" s="8">
        <v>74119862.971086681</v>
      </c>
      <c r="L78" s="8">
        <v>80341375.132508188</v>
      </c>
      <c r="M78" s="100">
        <v>-1748867.068575586</v>
      </c>
      <c r="N78" s="100">
        <v>139395721.98207194</v>
      </c>
      <c r="O78" s="100">
        <v>137646854.91349635</v>
      </c>
      <c r="P78" s="103">
        <v>426145206.25572801</v>
      </c>
      <c r="Q78" s="103">
        <v>3315930.3186429976</v>
      </c>
      <c r="R78" s="103">
        <v>0</v>
      </c>
      <c r="S78" s="103">
        <v>9537442.4800645057</v>
      </c>
      <c r="T78" s="1"/>
      <c r="U78" s="1"/>
      <c r="V78" s="103">
        <v>876546.88174833625</v>
      </c>
      <c r="Z78" s="47"/>
    </row>
    <row r="79" spans="1:26" s="44" customFormat="1" ht="15.75" x14ac:dyDescent="0.25">
      <c r="A79" s="104">
        <v>47362</v>
      </c>
      <c r="B79" s="105">
        <v>0</v>
      </c>
      <c r="C79" s="105">
        <v>0</v>
      </c>
      <c r="D79" s="105">
        <v>0</v>
      </c>
      <c r="E79" s="105">
        <v>71175062.654570729</v>
      </c>
      <c r="F79" s="106">
        <v>817756522.02515185</v>
      </c>
      <c r="G79" s="105">
        <v>4695929.1593369637</v>
      </c>
      <c r="H79" s="105">
        <v>1525583.0020845444</v>
      </c>
      <c r="I79" s="105">
        <v>263130773.33386496</v>
      </c>
      <c r="J79" s="107">
        <v>554625748.69128692</v>
      </c>
      <c r="K79" s="107">
        <v>71175062.654570729</v>
      </c>
      <c r="L79" s="107">
        <v>77396574.815992236</v>
      </c>
      <c r="M79" s="105">
        <v>-1748867.068575586</v>
      </c>
      <c r="N79" s="105">
        <v>137646854.91349635</v>
      </c>
      <c r="O79" s="105">
        <v>135897987.84492075</v>
      </c>
      <c r="P79" s="108">
        <v>418727760.84636617</v>
      </c>
      <c r="Q79" s="108">
        <v>3258213.5315978271</v>
      </c>
      <c r="R79" s="108">
        <v>0</v>
      </c>
      <c r="S79" s="108">
        <v>9479725.6930193342</v>
      </c>
      <c r="T79" s="1"/>
      <c r="U79" s="1"/>
      <c r="V79" s="103">
        <v>861289.78499194805</v>
      </c>
      <c r="Z79" s="47"/>
    </row>
    <row r="80" spans="1:26" s="44" customFormat="1" ht="15.75" x14ac:dyDescent="0.25">
      <c r="A80" s="5">
        <v>47392</v>
      </c>
      <c r="B80" s="100">
        <v>0</v>
      </c>
      <c r="C80" s="100">
        <v>0</v>
      </c>
      <c r="D80" s="100">
        <v>0</v>
      </c>
      <c r="E80" s="100">
        <v>68230262.338054761</v>
      </c>
      <c r="F80" s="99">
        <v>814811721.70863593</v>
      </c>
      <c r="G80" s="100">
        <v>4695929.1593369637</v>
      </c>
      <c r="H80" s="100">
        <v>1525583.0020845444</v>
      </c>
      <c r="I80" s="100">
        <v>269352285.49528646</v>
      </c>
      <c r="J80" s="8">
        <v>545459436.21334946</v>
      </c>
      <c r="K80" s="8">
        <v>68230262.338054761</v>
      </c>
      <c r="L80" s="8">
        <v>74451774.499476269</v>
      </c>
      <c r="M80" s="100">
        <v>-1748867.068575586</v>
      </c>
      <c r="N80" s="100">
        <v>135897987.84492075</v>
      </c>
      <c r="O80" s="100">
        <v>134149120.77634516</v>
      </c>
      <c r="P80" s="103">
        <v>411310315.43700433</v>
      </c>
      <c r="Q80" s="103">
        <v>3200496.7445526561</v>
      </c>
      <c r="R80" s="103">
        <v>0</v>
      </c>
      <c r="S80" s="103">
        <v>9422008.9059741646</v>
      </c>
      <c r="T80" s="1"/>
      <c r="U80" s="1"/>
      <c r="V80" s="103">
        <v>846032.68823555985</v>
      </c>
      <c r="Z80" s="47"/>
    </row>
    <row r="81" spans="1:26" s="44" customFormat="1" ht="15.75" x14ac:dyDescent="0.25">
      <c r="A81" s="5">
        <v>47423</v>
      </c>
      <c r="B81" s="100">
        <v>0</v>
      </c>
      <c r="C81" s="100">
        <v>0</v>
      </c>
      <c r="D81" s="100">
        <v>0</v>
      </c>
      <c r="E81" s="100">
        <v>65285462.021538801</v>
      </c>
      <c r="F81" s="99">
        <v>811866921.39212</v>
      </c>
      <c r="G81" s="100">
        <v>4695929.1593369637</v>
      </c>
      <c r="H81" s="100">
        <v>1525583.0020845444</v>
      </c>
      <c r="I81" s="100">
        <v>275573797.656708</v>
      </c>
      <c r="J81" s="8">
        <v>536293123.73541194</v>
      </c>
      <c r="K81" s="8">
        <v>65285462.021538801</v>
      </c>
      <c r="L81" s="8">
        <v>71506974.182960302</v>
      </c>
      <c r="M81" s="100">
        <v>-1748867.0685755839</v>
      </c>
      <c r="N81" s="100">
        <v>134149120.77634516</v>
      </c>
      <c r="O81" s="100">
        <v>132400253.70776957</v>
      </c>
      <c r="P81" s="103">
        <v>403892870.02764237</v>
      </c>
      <c r="Q81" s="103">
        <v>3142779.9575074846</v>
      </c>
      <c r="R81" s="103">
        <v>0</v>
      </c>
      <c r="S81" s="103">
        <v>9364292.1189289913</v>
      </c>
      <c r="T81" s="1"/>
      <c r="U81" s="1"/>
      <c r="V81" s="103">
        <v>830775.59147917153</v>
      </c>
      <c r="Z81" s="47"/>
    </row>
    <row r="82" spans="1:26" s="44" customFormat="1" ht="15.75" x14ac:dyDescent="0.25">
      <c r="A82" s="104">
        <v>47453</v>
      </c>
      <c r="B82" s="105">
        <v>0</v>
      </c>
      <c r="C82" s="105">
        <v>0</v>
      </c>
      <c r="D82" s="105">
        <v>0</v>
      </c>
      <c r="E82" s="105">
        <v>62340661.705022834</v>
      </c>
      <c r="F82" s="106">
        <v>808922121.07560396</v>
      </c>
      <c r="G82" s="105">
        <v>4695929.1593369637</v>
      </c>
      <c r="H82" s="105">
        <v>1525583.0020845444</v>
      </c>
      <c r="I82" s="105">
        <v>281795309.81812954</v>
      </c>
      <c r="J82" s="107">
        <v>527126811.25747442</v>
      </c>
      <c r="K82" s="107">
        <v>62340661.705022834</v>
      </c>
      <c r="L82" s="107">
        <v>68562173.866444349</v>
      </c>
      <c r="M82" s="105">
        <v>-1748867.0685755881</v>
      </c>
      <c r="N82" s="105">
        <v>132400253.70776957</v>
      </c>
      <c r="O82" s="105">
        <v>130651386.63919398</v>
      </c>
      <c r="P82" s="108">
        <v>396475424.61828041</v>
      </c>
      <c r="Q82" s="108">
        <v>3085063.1704623126</v>
      </c>
      <c r="R82" s="108">
        <v>0</v>
      </c>
      <c r="S82" s="108">
        <v>9306575.3318838198</v>
      </c>
      <c r="T82" s="1"/>
      <c r="U82" s="1"/>
      <c r="V82" s="103">
        <v>815518.4947227831</v>
      </c>
      <c r="Z82" s="47"/>
    </row>
    <row r="83" spans="1:26" s="44" customFormat="1" ht="15.75" x14ac:dyDescent="0.25">
      <c r="A83" s="5">
        <v>47484</v>
      </c>
      <c r="B83" s="100">
        <v>0</v>
      </c>
      <c r="C83" s="100">
        <v>0</v>
      </c>
      <c r="D83" s="100">
        <v>0</v>
      </c>
      <c r="E83" s="100">
        <v>59395861.388506867</v>
      </c>
      <c r="F83" s="99">
        <v>805977320.75908804</v>
      </c>
      <c r="G83" s="100">
        <v>4695929.1593369637</v>
      </c>
      <c r="H83" s="100">
        <v>1525583.0020845444</v>
      </c>
      <c r="I83" s="100">
        <v>288016821.97955108</v>
      </c>
      <c r="J83" s="8">
        <v>517960498.77953696</v>
      </c>
      <c r="K83" s="8">
        <v>59395861.388506867</v>
      </c>
      <c r="L83" s="8">
        <v>65617373.549928375</v>
      </c>
      <c r="M83" s="100">
        <v>-1748867.068575586</v>
      </c>
      <c r="N83" s="100">
        <v>130651386.63919398</v>
      </c>
      <c r="O83" s="100">
        <v>128902519.57061839</v>
      </c>
      <c r="P83" s="103">
        <v>389057979.20891857</v>
      </c>
      <c r="Q83" s="103">
        <v>3027346.3834171416</v>
      </c>
      <c r="R83" s="103">
        <v>0</v>
      </c>
      <c r="S83" s="103">
        <v>9248858.5448386483</v>
      </c>
      <c r="T83" s="1"/>
      <c r="U83" s="1"/>
      <c r="V83" s="103">
        <v>800261.39796639478</v>
      </c>
      <c r="Z83" s="47"/>
    </row>
    <row r="84" spans="1:26" s="44" customFormat="1" ht="15.75" x14ac:dyDescent="0.25">
      <c r="A84" s="5">
        <v>47515</v>
      </c>
      <c r="B84" s="100">
        <v>0</v>
      </c>
      <c r="C84" s="100">
        <v>0</v>
      </c>
      <c r="D84" s="100">
        <v>0</v>
      </c>
      <c r="E84" s="100">
        <v>56496837.465358742</v>
      </c>
      <c r="F84" s="99">
        <v>803078296.83593988</v>
      </c>
      <c r="G84" s="100">
        <v>4695929.1593369637</v>
      </c>
      <c r="H84" s="100">
        <v>1525583.0020845444</v>
      </c>
      <c r="I84" s="100">
        <v>294238334.14097261</v>
      </c>
      <c r="J84" s="8">
        <v>508839962.69496727</v>
      </c>
      <c r="K84" s="8">
        <v>56496837.465358742</v>
      </c>
      <c r="L84" s="8">
        <v>62718349.626780249</v>
      </c>
      <c r="M84" s="100">
        <v>-1748867.068575586</v>
      </c>
      <c r="N84" s="100">
        <v>128902519.57061839</v>
      </c>
      <c r="O84" s="100">
        <v>127153652.5020428</v>
      </c>
      <c r="P84" s="103">
        <v>381686310.1929245</v>
      </c>
      <c r="Q84" s="103">
        <v>2969985.7926365728</v>
      </c>
      <c r="R84" s="103">
        <v>0</v>
      </c>
      <c r="S84" s="103">
        <v>9191497.9540580809</v>
      </c>
      <c r="T84" s="1"/>
      <c r="U84" s="1"/>
      <c r="V84" s="103">
        <v>785098.45961957041</v>
      </c>
      <c r="Z84" s="47"/>
    </row>
    <row r="85" spans="1:26" s="44" customFormat="1" ht="15.75" x14ac:dyDescent="0.25">
      <c r="A85" s="104">
        <v>47543</v>
      </c>
      <c r="B85" s="105">
        <v>0</v>
      </c>
      <c r="C85" s="105">
        <v>0</v>
      </c>
      <c r="D85" s="105">
        <v>0</v>
      </c>
      <c r="E85" s="105">
        <v>53643589.935578451</v>
      </c>
      <c r="F85" s="106">
        <v>800225049.30615962</v>
      </c>
      <c r="G85" s="105">
        <v>4695929.1593369637</v>
      </c>
      <c r="H85" s="105">
        <v>1525583.0020845444</v>
      </c>
      <c r="I85" s="105">
        <v>300459846.30239415</v>
      </c>
      <c r="J85" s="107">
        <v>499765203.00376546</v>
      </c>
      <c r="K85" s="107">
        <v>53643589.935578451</v>
      </c>
      <c r="L85" s="107">
        <v>59865102.096999958</v>
      </c>
      <c r="M85" s="105">
        <v>-1748867.068575586</v>
      </c>
      <c r="N85" s="105">
        <v>127153652.5020428</v>
      </c>
      <c r="O85" s="105">
        <v>125404785.43346721</v>
      </c>
      <c r="P85" s="108">
        <v>374360417.57029825</v>
      </c>
      <c r="Q85" s="108">
        <v>2912981.3981206063</v>
      </c>
      <c r="R85" s="108">
        <v>0</v>
      </c>
      <c r="S85" s="108">
        <v>9134493.5595421139</v>
      </c>
      <c r="T85" s="1"/>
      <c r="U85" s="1"/>
      <c r="V85" s="103">
        <v>770029.67968230962</v>
      </c>
      <c r="Z85" s="47"/>
    </row>
    <row r="86" spans="1:26" s="44" customFormat="1" ht="15.75" x14ac:dyDescent="0.25">
      <c r="A86" s="5">
        <v>47574</v>
      </c>
      <c r="B86" s="100">
        <v>0</v>
      </c>
      <c r="C86" s="100">
        <v>0</v>
      </c>
      <c r="D86" s="100">
        <v>0</v>
      </c>
      <c r="E86" s="100">
        <v>50836118.799165986</v>
      </c>
      <c r="F86" s="99">
        <v>797417578.16974711</v>
      </c>
      <c r="G86" s="100">
        <v>4695929.1593369637</v>
      </c>
      <c r="H86" s="100">
        <v>1525583.0020845444</v>
      </c>
      <c r="I86" s="100">
        <v>306681358.46381569</v>
      </c>
      <c r="J86" s="8">
        <v>490736219.70593143</v>
      </c>
      <c r="K86" s="8">
        <v>50836118.799165986</v>
      </c>
      <c r="L86" s="8">
        <v>57057630.960587494</v>
      </c>
      <c r="M86" s="100">
        <v>-1748867.068575586</v>
      </c>
      <c r="N86" s="100">
        <v>125404785.43346721</v>
      </c>
      <c r="O86" s="100">
        <v>123655918.36489162</v>
      </c>
      <c r="P86" s="103">
        <v>367080301.34103978</v>
      </c>
      <c r="Q86" s="103">
        <v>2856333.199869242</v>
      </c>
      <c r="R86" s="103">
        <v>0</v>
      </c>
      <c r="S86" s="103">
        <v>9077845.3612907492</v>
      </c>
      <c r="T86" s="1"/>
      <c r="U86" s="1"/>
      <c r="V86" s="103">
        <v>755055.05815461243</v>
      </c>
      <c r="Z86" s="47"/>
    </row>
    <row r="87" spans="1:26" s="44" customFormat="1" ht="15.75" x14ac:dyDescent="0.25">
      <c r="A87" s="5">
        <v>47604</v>
      </c>
      <c r="B87" s="100">
        <v>0</v>
      </c>
      <c r="C87" s="100">
        <v>0</v>
      </c>
      <c r="D87" s="100">
        <v>0</v>
      </c>
      <c r="E87" s="100">
        <v>48074424.056121379</v>
      </c>
      <c r="F87" s="99">
        <v>794655883.4267025</v>
      </c>
      <c r="G87" s="100">
        <v>4695929.1593369637</v>
      </c>
      <c r="H87" s="100">
        <v>1525583.0020845444</v>
      </c>
      <c r="I87" s="100">
        <v>312902870.62523723</v>
      </c>
      <c r="J87" s="8">
        <v>481753012.80146527</v>
      </c>
      <c r="K87" s="8">
        <v>48074424.056121379</v>
      </c>
      <c r="L87" s="8">
        <v>54295936.217542887</v>
      </c>
      <c r="M87" s="100">
        <v>-1748867.068575586</v>
      </c>
      <c r="N87" s="100">
        <v>123655918.36489162</v>
      </c>
      <c r="O87" s="100">
        <v>121907051.29631603</v>
      </c>
      <c r="P87" s="103">
        <v>359845961.50514925</v>
      </c>
      <c r="Q87" s="103">
        <v>2800041.1978824805</v>
      </c>
      <c r="R87" s="103">
        <v>0</v>
      </c>
      <c r="S87" s="103">
        <v>9021553.3593039885</v>
      </c>
      <c r="T87" s="1"/>
      <c r="U87" s="1"/>
      <c r="V87" s="103">
        <v>740174.59503647918</v>
      </c>
      <c r="Z87" s="47"/>
    </row>
    <row r="88" spans="1:26" s="44" customFormat="1" ht="15.75" x14ac:dyDescent="0.25">
      <c r="A88" s="104">
        <v>47635</v>
      </c>
      <c r="B88" s="105">
        <v>0</v>
      </c>
      <c r="C88" s="105">
        <v>0</v>
      </c>
      <c r="D88" s="105">
        <v>0</v>
      </c>
      <c r="E88" s="105">
        <v>45358505.706444569</v>
      </c>
      <c r="F88" s="106">
        <v>791939965.07702577</v>
      </c>
      <c r="G88" s="105">
        <v>4695929.1593369637</v>
      </c>
      <c r="H88" s="105">
        <v>1525583.0020845444</v>
      </c>
      <c r="I88" s="105">
        <v>319124382.78665876</v>
      </c>
      <c r="J88" s="107">
        <v>472815582.29036695</v>
      </c>
      <c r="K88" s="107">
        <v>45358505.706444569</v>
      </c>
      <c r="L88" s="107">
        <v>51580017.867866077</v>
      </c>
      <c r="M88" s="105">
        <v>-1748867.068575586</v>
      </c>
      <c r="N88" s="105">
        <v>121907051.29631603</v>
      </c>
      <c r="O88" s="105">
        <v>120158184.22774044</v>
      </c>
      <c r="P88" s="108">
        <v>352657398.06262648</v>
      </c>
      <c r="Q88" s="108">
        <v>2744105.3921603211</v>
      </c>
      <c r="R88" s="108">
        <v>0</v>
      </c>
      <c r="S88" s="108">
        <v>8965617.5535818283</v>
      </c>
      <c r="T88" s="1"/>
      <c r="U88" s="1"/>
      <c r="V88" s="103">
        <v>725388.29032790975</v>
      </c>
      <c r="Z88" s="47"/>
    </row>
    <row r="89" spans="1:26" s="44" customFormat="1" ht="15.75" x14ac:dyDescent="0.25">
      <c r="A89" s="5">
        <v>47665</v>
      </c>
      <c r="B89" s="100">
        <v>0</v>
      </c>
      <c r="C89" s="100">
        <v>0</v>
      </c>
      <c r="D89" s="100">
        <v>0</v>
      </c>
      <c r="E89" s="100">
        <v>42688363.750135615</v>
      </c>
      <c r="F89" s="99">
        <v>789269823.12071681</v>
      </c>
      <c r="G89" s="100">
        <v>4695929.1593369637</v>
      </c>
      <c r="H89" s="100">
        <v>1525583.0020845444</v>
      </c>
      <c r="I89" s="100">
        <v>325345894.9480803</v>
      </c>
      <c r="J89" s="8">
        <v>463923928.17263645</v>
      </c>
      <c r="K89" s="8">
        <v>42688363.750135615</v>
      </c>
      <c r="L89" s="8">
        <v>48909875.911557123</v>
      </c>
      <c r="M89" s="100">
        <v>-1748867.068575586</v>
      </c>
      <c r="N89" s="100">
        <v>120158184.22774044</v>
      </c>
      <c r="O89" s="100">
        <v>118409317.15916485</v>
      </c>
      <c r="P89" s="103">
        <v>345514611.0134716</v>
      </c>
      <c r="Q89" s="103">
        <v>2688525.782702765</v>
      </c>
      <c r="R89" s="103">
        <v>0</v>
      </c>
      <c r="S89" s="103">
        <v>8910037.9441242721</v>
      </c>
      <c r="T89" s="1"/>
      <c r="U89" s="1"/>
      <c r="V89" s="103">
        <v>710696.14402890392</v>
      </c>
      <c r="Z89" s="47"/>
    </row>
    <row r="90" spans="1:26" s="44" customFormat="1" ht="15.75" x14ac:dyDescent="0.25">
      <c r="A90" s="5">
        <v>47696</v>
      </c>
      <c r="B90" s="100">
        <v>0</v>
      </c>
      <c r="C90" s="100">
        <v>0</v>
      </c>
      <c r="D90" s="100">
        <v>0</v>
      </c>
      <c r="E90" s="100">
        <v>40063998.187194496</v>
      </c>
      <c r="F90" s="99">
        <v>786645457.55777562</v>
      </c>
      <c r="G90" s="100">
        <v>4695929.1593369637</v>
      </c>
      <c r="H90" s="100">
        <v>1525583.0020845444</v>
      </c>
      <c r="I90" s="100">
        <v>331567407.10950184</v>
      </c>
      <c r="J90" s="8">
        <v>455078050.44827378</v>
      </c>
      <c r="K90" s="8">
        <v>40063998.187194496</v>
      </c>
      <c r="L90" s="8">
        <v>46285510.348616004</v>
      </c>
      <c r="M90" s="100">
        <v>-1748867.068575586</v>
      </c>
      <c r="N90" s="100">
        <v>118409317.15916485</v>
      </c>
      <c r="O90" s="100">
        <v>116660450.09058926</v>
      </c>
      <c r="P90" s="103">
        <v>338417600.35768449</v>
      </c>
      <c r="Q90" s="103">
        <v>2633302.3695098101</v>
      </c>
      <c r="R90" s="103">
        <v>0</v>
      </c>
      <c r="S90" s="103">
        <v>8854814.5309313182</v>
      </c>
      <c r="T90" s="1"/>
      <c r="U90" s="1"/>
      <c r="V90" s="103">
        <v>696098.15613946191</v>
      </c>
      <c r="Z90" s="47"/>
    </row>
    <row r="91" spans="1:26" s="44" customFormat="1" ht="15.75" x14ac:dyDescent="0.25">
      <c r="A91" s="104">
        <v>47727</v>
      </c>
      <c r="B91" s="105">
        <v>0</v>
      </c>
      <c r="C91" s="105">
        <v>0</v>
      </c>
      <c r="D91" s="105">
        <v>0</v>
      </c>
      <c r="E91" s="105">
        <v>37485409.017621197</v>
      </c>
      <c r="F91" s="106">
        <v>784066868.38820231</v>
      </c>
      <c r="G91" s="105">
        <v>4695929.1593369637</v>
      </c>
      <c r="H91" s="105">
        <v>1525583.0020845444</v>
      </c>
      <c r="I91" s="105">
        <v>337788919.27092338</v>
      </c>
      <c r="J91" s="107">
        <v>446277949.11727899</v>
      </c>
      <c r="K91" s="107">
        <v>37485409.017621197</v>
      </c>
      <c r="L91" s="107">
        <v>43706921.179042704</v>
      </c>
      <c r="M91" s="105">
        <v>-1748867.068575586</v>
      </c>
      <c r="N91" s="105">
        <v>116660450.09058926</v>
      </c>
      <c r="O91" s="105">
        <v>114911583.02201366</v>
      </c>
      <c r="P91" s="108">
        <v>331366366.09526533</v>
      </c>
      <c r="Q91" s="108">
        <v>2578435.1525814589</v>
      </c>
      <c r="R91" s="108">
        <v>0</v>
      </c>
      <c r="S91" s="108">
        <v>8799947.3140029665</v>
      </c>
      <c r="T91" s="1"/>
      <c r="U91" s="1"/>
      <c r="V91" s="103">
        <v>681594.32665958384</v>
      </c>
      <c r="Z91" s="47"/>
    </row>
    <row r="92" spans="1:26" s="44" customFormat="1" ht="15.75" x14ac:dyDescent="0.25">
      <c r="A92" s="5">
        <v>47757</v>
      </c>
      <c r="B92" s="100">
        <v>0</v>
      </c>
      <c r="C92" s="100">
        <v>0</v>
      </c>
      <c r="D92" s="100">
        <v>0</v>
      </c>
      <c r="E92" s="100">
        <v>34952596.241415747</v>
      </c>
      <c r="F92" s="99">
        <v>781534055.61199689</v>
      </c>
      <c r="G92" s="100">
        <v>4695929.1593369637</v>
      </c>
      <c r="H92" s="100">
        <v>1525583.0020845444</v>
      </c>
      <c r="I92" s="100">
        <v>344010431.43234491</v>
      </c>
      <c r="J92" s="8">
        <v>437523624.17965198</v>
      </c>
      <c r="K92" s="8">
        <v>34952596.241415747</v>
      </c>
      <c r="L92" s="8">
        <v>41174108.402837254</v>
      </c>
      <c r="M92" s="100">
        <v>-1748867.068575586</v>
      </c>
      <c r="N92" s="100">
        <v>114911583.02201366</v>
      </c>
      <c r="O92" s="100">
        <v>113162715.95343807</v>
      </c>
      <c r="P92" s="103">
        <v>324360908.22621393</v>
      </c>
      <c r="Q92" s="103">
        <v>2523924.13191771</v>
      </c>
      <c r="R92" s="103">
        <v>0</v>
      </c>
      <c r="S92" s="103">
        <v>8745436.2933392171</v>
      </c>
      <c r="T92" s="1"/>
      <c r="U92" s="1"/>
      <c r="V92" s="103">
        <v>667184.65558926936</v>
      </c>
      <c r="Z92" s="47"/>
    </row>
    <row r="93" spans="1:26" s="44" customFormat="1" ht="15.75" x14ac:dyDescent="0.25">
      <c r="A93" s="5">
        <v>47788</v>
      </c>
      <c r="B93" s="100">
        <v>0</v>
      </c>
      <c r="C93" s="100">
        <v>0</v>
      </c>
      <c r="D93" s="100">
        <v>0</v>
      </c>
      <c r="E93" s="100">
        <v>32465559.858578134</v>
      </c>
      <c r="F93" s="99">
        <v>779047019.22915924</v>
      </c>
      <c r="G93" s="100">
        <v>4695929.1593369637</v>
      </c>
      <c r="H93" s="100">
        <v>1525583.0020845444</v>
      </c>
      <c r="I93" s="100">
        <v>350231943.59376645</v>
      </c>
      <c r="J93" s="8">
        <v>428815075.63539284</v>
      </c>
      <c r="K93" s="8">
        <v>32465559.858578134</v>
      </c>
      <c r="L93" s="8">
        <v>38687072.019999638</v>
      </c>
      <c r="M93" s="100">
        <v>-1748867.0685755848</v>
      </c>
      <c r="N93" s="100">
        <v>113162715.95343807</v>
      </c>
      <c r="O93" s="100">
        <v>111413848.88486248</v>
      </c>
      <c r="P93" s="103">
        <v>317401226.75053036</v>
      </c>
      <c r="Q93" s="103">
        <v>2469769.3075185628</v>
      </c>
      <c r="R93" s="103">
        <v>0</v>
      </c>
      <c r="S93" s="103">
        <v>8691281.4689400699</v>
      </c>
      <c r="T93" s="1"/>
      <c r="U93" s="1"/>
      <c r="V93" s="103">
        <v>652869.1429285187</v>
      </c>
      <c r="Z93" s="47"/>
    </row>
    <row r="94" spans="1:26" s="44" customFormat="1" ht="15.75" x14ac:dyDescent="0.25">
      <c r="A94" s="104">
        <v>47818</v>
      </c>
      <c r="B94" s="105">
        <v>0</v>
      </c>
      <c r="C94" s="105">
        <v>0</v>
      </c>
      <c r="D94" s="105">
        <v>0</v>
      </c>
      <c r="E94" s="105">
        <v>30024299.869108349</v>
      </c>
      <c r="F94" s="106">
        <v>776605759.23968947</v>
      </c>
      <c r="G94" s="105">
        <v>4695929.1593369637</v>
      </c>
      <c r="H94" s="105">
        <v>1525583.0020845444</v>
      </c>
      <c r="I94" s="105">
        <v>356453455.75518799</v>
      </c>
      <c r="J94" s="107">
        <v>420152303.48450148</v>
      </c>
      <c r="K94" s="107">
        <v>30024299.869108349</v>
      </c>
      <c r="L94" s="107">
        <v>36245812.030529857</v>
      </c>
      <c r="M94" s="105">
        <v>-1748867.068575586</v>
      </c>
      <c r="N94" s="105">
        <v>111413848.88486248</v>
      </c>
      <c r="O94" s="105">
        <v>109664981.81628689</v>
      </c>
      <c r="P94" s="108">
        <v>310487321.66821456</v>
      </c>
      <c r="Q94" s="108">
        <v>2415970.6793840178</v>
      </c>
      <c r="R94" s="108">
        <v>0</v>
      </c>
      <c r="S94" s="108">
        <v>8637482.840805525</v>
      </c>
      <c r="T94" s="1"/>
      <c r="U94" s="1"/>
      <c r="V94" s="103">
        <v>638647.78867733164</v>
      </c>
      <c r="Z94" s="47"/>
    </row>
    <row r="95" spans="1:26" s="44" customFormat="1" ht="15.75" x14ac:dyDescent="0.25">
      <c r="A95" s="5">
        <v>47849</v>
      </c>
      <c r="B95" s="100">
        <v>0</v>
      </c>
      <c r="C95" s="100">
        <v>0</v>
      </c>
      <c r="D95" s="100">
        <v>0</v>
      </c>
      <c r="E95" s="100">
        <v>27628816.273006398</v>
      </c>
      <c r="F95" s="99">
        <v>774210275.64358759</v>
      </c>
      <c r="G95" s="100">
        <v>4695929.1593369637</v>
      </c>
      <c r="H95" s="100">
        <v>1525583.0020845444</v>
      </c>
      <c r="I95" s="100">
        <v>362674967.91660953</v>
      </c>
      <c r="J95" s="8">
        <v>411535307.726978</v>
      </c>
      <c r="K95" s="8">
        <v>27628816.273006398</v>
      </c>
      <c r="L95" s="8">
        <v>33850328.434427902</v>
      </c>
      <c r="M95" s="100">
        <v>-1748867.0685755848</v>
      </c>
      <c r="N95" s="100">
        <v>109664981.81628689</v>
      </c>
      <c r="O95" s="100">
        <v>107916114.7477113</v>
      </c>
      <c r="P95" s="103">
        <v>303619192.9792667</v>
      </c>
      <c r="Q95" s="103">
        <v>2362528.2475140761</v>
      </c>
      <c r="R95" s="103">
        <v>0</v>
      </c>
      <c r="S95" s="103">
        <v>8584040.4089355841</v>
      </c>
      <c r="T95" s="1"/>
      <c r="U95" s="1"/>
      <c r="V95" s="103">
        <v>624520.59283570864</v>
      </c>
      <c r="Z95" s="47"/>
    </row>
    <row r="96" spans="1:26" s="44" customFormat="1" ht="15.75" x14ac:dyDescent="0.25">
      <c r="A96" s="5">
        <v>47880</v>
      </c>
      <c r="B96" s="100">
        <v>0</v>
      </c>
      <c r="C96" s="100">
        <v>0</v>
      </c>
      <c r="D96" s="100">
        <v>0</v>
      </c>
      <c r="E96" s="100">
        <v>25332583.695368174</v>
      </c>
      <c r="F96" s="99">
        <v>771914043.06594932</v>
      </c>
      <c r="G96" s="100">
        <v>4695929.1593369637</v>
      </c>
      <c r="H96" s="100">
        <v>1525583.0020845444</v>
      </c>
      <c r="I96" s="100">
        <v>368896480.07803106</v>
      </c>
      <c r="J96" s="8">
        <v>403017562.98791826</v>
      </c>
      <c r="K96" s="8">
        <v>25332583.695368174</v>
      </c>
      <c r="L96" s="8">
        <v>31554095.856789682</v>
      </c>
      <c r="M96" s="100">
        <v>-1748867.068575586</v>
      </c>
      <c r="N96" s="100">
        <v>107916114.7477113</v>
      </c>
      <c r="O96" s="100">
        <v>106167247.67913571</v>
      </c>
      <c r="P96" s="103">
        <v>296850315.30878258</v>
      </c>
      <c r="Q96" s="103">
        <v>2309858.1098209759</v>
      </c>
      <c r="R96" s="103">
        <v>0</v>
      </c>
      <c r="S96" s="103">
        <v>8531370.2712424845</v>
      </c>
      <c r="T96" s="1"/>
      <c r="U96" s="1"/>
      <c r="V96" s="103">
        <v>610597.54846515122</v>
      </c>
      <c r="Z96" s="47"/>
    </row>
    <row r="97" spans="1:26" s="44" customFormat="1" ht="15.75" x14ac:dyDescent="0.25">
      <c r="A97" s="104">
        <v>47908</v>
      </c>
      <c r="B97" s="105">
        <v>0</v>
      </c>
      <c r="C97" s="105">
        <v>0</v>
      </c>
      <c r="D97" s="105">
        <v>0</v>
      </c>
      <c r="E97" s="105">
        <v>23135602.136193685</v>
      </c>
      <c r="F97" s="106">
        <v>769717061.50677478</v>
      </c>
      <c r="G97" s="105">
        <v>4695929.1593369637</v>
      </c>
      <c r="H97" s="105">
        <v>1525583.0020845444</v>
      </c>
      <c r="I97" s="105">
        <v>375117992.2394526</v>
      </c>
      <c r="J97" s="107">
        <v>394599069.26732224</v>
      </c>
      <c r="K97" s="107">
        <v>23135602.136193685</v>
      </c>
      <c r="L97" s="107">
        <v>29357114.297615193</v>
      </c>
      <c r="M97" s="105">
        <v>-1748867.068575586</v>
      </c>
      <c r="N97" s="105">
        <v>106167247.67913571</v>
      </c>
      <c r="O97" s="105">
        <v>104418380.61056012</v>
      </c>
      <c r="P97" s="108">
        <v>290180688.65676212</v>
      </c>
      <c r="Q97" s="108">
        <v>2257960.266304716</v>
      </c>
      <c r="R97" s="108">
        <v>0</v>
      </c>
      <c r="S97" s="108">
        <v>8479472.4277262241</v>
      </c>
      <c r="T97" s="1"/>
      <c r="U97" s="1"/>
      <c r="V97" s="103">
        <v>596878.65556565963</v>
      </c>
      <c r="Z97" s="47"/>
    </row>
    <row r="98" spans="1:26" s="44" customFormat="1" ht="15.75" x14ac:dyDescent="0.25">
      <c r="A98" s="5">
        <v>47939</v>
      </c>
      <c r="B98" s="100">
        <v>0</v>
      </c>
      <c r="C98" s="100">
        <v>0</v>
      </c>
      <c r="D98" s="100">
        <v>0</v>
      </c>
      <c r="E98" s="100">
        <v>21037871.595482945</v>
      </c>
      <c r="F98" s="99">
        <v>767619330.9660641</v>
      </c>
      <c r="G98" s="100">
        <v>4695929.1593369637</v>
      </c>
      <c r="H98" s="100">
        <v>1525583.0020845444</v>
      </c>
      <c r="I98" s="100">
        <v>381339504.40087414</v>
      </c>
      <c r="J98" s="8">
        <v>386279826.56518996</v>
      </c>
      <c r="K98" s="8">
        <v>21037871.595482945</v>
      </c>
      <c r="L98" s="8">
        <v>27259383.756904453</v>
      </c>
      <c r="M98" s="100">
        <v>-1748867.068575586</v>
      </c>
      <c r="N98" s="100">
        <v>104418380.61056012</v>
      </c>
      <c r="O98" s="100">
        <v>102669513.54198453</v>
      </c>
      <c r="P98" s="103">
        <v>283610313.0232054</v>
      </c>
      <c r="Q98" s="103">
        <v>2206834.7169652972</v>
      </c>
      <c r="R98" s="103">
        <v>0</v>
      </c>
      <c r="S98" s="103">
        <v>8428346.8783868048</v>
      </c>
      <c r="T98" s="1"/>
      <c r="U98" s="1"/>
      <c r="V98" s="103">
        <v>583363.91413723363</v>
      </c>
      <c r="Z98" s="47"/>
    </row>
    <row r="99" spans="1:26" s="44" customFormat="1" ht="15.75" x14ac:dyDescent="0.25">
      <c r="A99" s="5">
        <v>47969</v>
      </c>
      <c r="B99" s="100">
        <v>0</v>
      </c>
      <c r="C99" s="100">
        <v>0</v>
      </c>
      <c r="D99" s="100">
        <v>0</v>
      </c>
      <c r="E99" s="100">
        <v>19039392.073235936</v>
      </c>
      <c r="F99" s="99">
        <v>765620851.44381714</v>
      </c>
      <c r="G99" s="100">
        <v>4695929.1593369637</v>
      </c>
      <c r="H99" s="100">
        <v>1525583.0020845444</v>
      </c>
      <c r="I99" s="100">
        <v>387561016.56229568</v>
      </c>
      <c r="J99" s="8">
        <v>378059834.8815214</v>
      </c>
      <c r="K99" s="8">
        <v>19039392.073235936</v>
      </c>
      <c r="L99" s="8">
        <v>25260904.234657444</v>
      </c>
      <c r="M99" s="100">
        <v>-1748867.068575586</v>
      </c>
      <c r="N99" s="100">
        <v>102669513.54198453</v>
      </c>
      <c r="O99" s="100">
        <v>100920646.47340894</v>
      </c>
      <c r="P99" s="103">
        <v>277139188.40811247</v>
      </c>
      <c r="Q99" s="103">
        <v>2156481.4618027206</v>
      </c>
      <c r="R99" s="103">
        <v>0</v>
      </c>
      <c r="S99" s="103">
        <v>8377993.6232242286</v>
      </c>
      <c r="T99" s="1"/>
      <c r="U99" s="1"/>
      <c r="V99" s="103">
        <v>570053.32417987369</v>
      </c>
      <c r="Z99" s="47"/>
    </row>
    <row r="100" spans="1:26" s="44" customFormat="1" ht="15.75" x14ac:dyDescent="0.25">
      <c r="A100" s="104">
        <v>48000</v>
      </c>
      <c r="B100" s="105">
        <v>0</v>
      </c>
      <c r="C100" s="105">
        <v>0</v>
      </c>
      <c r="D100" s="105">
        <v>0</v>
      </c>
      <c r="E100" s="105">
        <v>17140163.569452651</v>
      </c>
      <c r="F100" s="106">
        <v>763721622.94003379</v>
      </c>
      <c r="G100" s="105">
        <v>4695929.1593369637</v>
      </c>
      <c r="H100" s="105">
        <v>1525583.0020845444</v>
      </c>
      <c r="I100" s="105">
        <v>393782528.72371721</v>
      </c>
      <c r="J100" s="107">
        <v>369939094.21631658</v>
      </c>
      <c r="K100" s="107">
        <v>17140163.569452651</v>
      </c>
      <c r="L100" s="107">
        <v>23361675.730874158</v>
      </c>
      <c r="M100" s="105">
        <v>-1748867.068575586</v>
      </c>
      <c r="N100" s="105">
        <v>100920646.47340894</v>
      </c>
      <c r="O100" s="105">
        <v>99171779.404833347</v>
      </c>
      <c r="P100" s="108">
        <v>270767314.81148326</v>
      </c>
      <c r="Q100" s="108">
        <v>2106900.5008169846</v>
      </c>
      <c r="R100" s="108">
        <v>0</v>
      </c>
      <c r="S100" s="108">
        <v>8328412.6622384917</v>
      </c>
      <c r="T100" s="1"/>
      <c r="U100" s="1"/>
      <c r="V100" s="103">
        <v>556946.88569357933</v>
      </c>
      <c r="Z100" s="47"/>
    </row>
    <row r="101" spans="1:26" s="44" customFormat="1" ht="15.75" x14ac:dyDescent="0.25">
      <c r="A101" s="5">
        <v>48030</v>
      </c>
      <c r="B101" s="100">
        <v>0</v>
      </c>
      <c r="C101" s="100">
        <v>0</v>
      </c>
      <c r="D101" s="100">
        <v>0</v>
      </c>
      <c r="E101" s="100">
        <v>15340186.084133107</v>
      </c>
      <c r="F101" s="99">
        <v>761921645.4547143</v>
      </c>
      <c r="G101" s="100">
        <v>4695929.1593369637</v>
      </c>
      <c r="H101" s="100">
        <v>1525583.0020845444</v>
      </c>
      <c r="I101" s="100">
        <v>400004040.88513875</v>
      </c>
      <c r="J101" s="8">
        <v>361917604.56957549</v>
      </c>
      <c r="K101" s="8">
        <v>15340186.084133107</v>
      </c>
      <c r="L101" s="8">
        <v>21561698.245554615</v>
      </c>
      <c r="M101" s="100">
        <v>-1748867.068575586</v>
      </c>
      <c r="N101" s="100">
        <v>99171779.404833347</v>
      </c>
      <c r="O101" s="100">
        <v>97422912.336257756</v>
      </c>
      <c r="P101" s="103">
        <v>264494692.23331773</v>
      </c>
      <c r="Q101" s="103">
        <v>2058091.8340080897</v>
      </c>
      <c r="R101" s="103">
        <v>0</v>
      </c>
      <c r="S101" s="103">
        <v>8279603.9954295978</v>
      </c>
      <c r="T101" s="1"/>
      <c r="U101" s="1"/>
      <c r="V101" s="103">
        <v>544044.59867835068</v>
      </c>
      <c r="Z101" s="47"/>
    </row>
    <row r="102" spans="1:26" s="44" customFormat="1" ht="15.75" x14ac:dyDescent="0.25">
      <c r="A102" s="5">
        <v>48061</v>
      </c>
      <c r="B102" s="100">
        <v>0</v>
      </c>
      <c r="C102" s="100">
        <v>0</v>
      </c>
      <c r="D102" s="100">
        <v>0</v>
      </c>
      <c r="E102" s="100">
        <v>13639459.617277291</v>
      </c>
      <c r="F102" s="99">
        <v>760220918.98785841</v>
      </c>
      <c r="G102" s="100">
        <v>4695929.1593369637</v>
      </c>
      <c r="H102" s="100">
        <v>1525583.0020845444</v>
      </c>
      <c r="I102" s="100">
        <v>406225553.04656029</v>
      </c>
      <c r="J102" s="8">
        <v>353995365.94129813</v>
      </c>
      <c r="K102" s="8">
        <v>13639459.617277291</v>
      </c>
      <c r="L102" s="8">
        <v>19860971.778698798</v>
      </c>
      <c r="M102" s="100">
        <v>-1748867.068575586</v>
      </c>
      <c r="N102" s="100">
        <v>97422912.336257756</v>
      </c>
      <c r="O102" s="100">
        <v>95674045.267682165</v>
      </c>
      <c r="P102" s="103">
        <v>258321320.67361596</v>
      </c>
      <c r="Q102" s="103">
        <v>2010055.4613760361</v>
      </c>
      <c r="R102" s="103">
        <v>0</v>
      </c>
      <c r="S102" s="103">
        <v>8231567.6227975432</v>
      </c>
      <c r="T102" s="1"/>
      <c r="U102" s="1"/>
      <c r="V102" s="103">
        <v>531346.46313418786</v>
      </c>
      <c r="Z102" s="47"/>
    </row>
    <row r="103" spans="1:26" s="44" customFormat="1" ht="15.75" x14ac:dyDescent="0.25">
      <c r="A103" s="104">
        <v>48092</v>
      </c>
      <c r="B103" s="105">
        <v>0</v>
      </c>
      <c r="C103" s="105">
        <v>0</v>
      </c>
      <c r="D103" s="105">
        <v>0</v>
      </c>
      <c r="E103" s="105">
        <v>12037984.168885214</v>
      </c>
      <c r="F103" s="106">
        <v>758619443.53946638</v>
      </c>
      <c r="G103" s="105">
        <v>4695929.1593369637</v>
      </c>
      <c r="H103" s="105">
        <v>1525583.0020845444</v>
      </c>
      <c r="I103" s="105">
        <v>412447065.20798182</v>
      </c>
      <c r="J103" s="107">
        <v>346172378.33148456</v>
      </c>
      <c r="K103" s="107">
        <v>12037984.168885214</v>
      </c>
      <c r="L103" s="107">
        <v>18259496.330306724</v>
      </c>
      <c r="M103" s="105">
        <v>-1748867.0685755864</v>
      </c>
      <c r="N103" s="105">
        <v>95674045.267682165</v>
      </c>
      <c r="O103" s="105">
        <v>93925178.199106574</v>
      </c>
      <c r="P103" s="108">
        <v>252247200.13237798</v>
      </c>
      <c r="Q103" s="108">
        <v>1962791.382920824</v>
      </c>
      <c r="R103" s="108">
        <v>0</v>
      </c>
      <c r="S103" s="108">
        <v>8184303.5443423316</v>
      </c>
      <c r="T103" s="1"/>
      <c r="U103" s="1"/>
      <c r="V103" s="103">
        <v>518852.47906109103</v>
      </c>
      <c r="Z103" s="47"/>
    </row>
    <row r="104" spans="1:26" s="44" customFormat="1" ht="15.75" x14ac:dyDescent="0.25">
      <c r="A104" s="5">
        <v>48122</v>
      </c>
      <c r="B104" s="100">
        <v>0</v>
      </c>
      <c r="C104" s="100">
        <v>0</v>
      </c>
      <c r="D104" s="100">
        <v>0</v>
      </c>
      <c r="E104" s="100">
        <v>10535759.738956872</v>
      </c>
      <c r="F104" s="99">
        <v>757117219.10953808</v>
      </c>
      <c r="G104" s="100">
        <v>4695929.1593369637</v>
      </c>
      <c r="H104" s="100">
        <v>1525583.0020845444</v>
      </c>
      <c r="I104" s="100">
        <v>418668577.36940336</v>
      </c>
      <c r="J104" s="8">
        <v>338448641.74013466</v>
      </c>
      <c r="K104" s="8">
        <v>10535759.738956872</v>
      </c>
      <c r="L104" s="8">
        <v>16757271.90037838</v>
      </c>
      <c r="M104" s="100">
        <v>-1748867.068575586</v>
      </c>
      <c r="N104" s="100">
        <v>93925178.199106574</v>
      </c>
      <c r="O104" s="100">
        <v>92176311.130530983</v>
      </c>
      <c r="P104" s="103">
        <v>246272330.60960367</v>
      </c>
      <c r="Q104" s="103">
        <v>1916299.5986424526</v>
      </c>
      <c r="R104" s="103">
        <v>0</v>
      </c>
      <c r="S104" s="103">
        <v>8137811.7600639602</v>
      </c>
      <c r="T104" s="1"/>
      <c r="U104" s="1"/>
      <c r="V104" s="103">
        <v>506562.64645905973</v>
      </c>
      <c r="Z104" s="47"/>
    </row>
    <row r="105" spans="1:26" s="44" customFormat="1" ht="15.75" x14ac:dyDescent="0.25">
      <c r="A105" s="5">
        <v>48153</v>
      </c>
      <c r="B105" s="100">
        <v>0</v>
      </c>
      <c r="C105" s="100">
        <v>0</v>
      </c>
      <c r="D105" s="100">
        <v>0</v>
      </c>
      <c r="E105" s="100">
        <v>9132786.327492265</v>
      </c>
      <c r="F105" s="99">
        <v>755714245.69807339</v>
      </c>
      <c r="G105" s="100">
        <v>4695929.1593369637</v>
      </c>
      <c r="H105" s="100">
        <v>1525583.0020845444</v>
      </c>
      <c r="I105" s="100">
        <v>424890089.5308249</v>
      </c>
      <c r="J105" s="8">
        <v>330824156.16724849</v>
      </c>
      <c r="K105" s="8">
        <v>9132786.327492265</v>
      </c>
      <c r="L105" s="8">
        <v>15354298.488913773</v>
      </c>
      <c r="M105" s="100">
        <v>-1748867.068575586</v>
      </c>
      <c r="N105" s="100">
        <v>92176311.130530983</v>
      </c>
      <c r="O105" s="100">
        <v>90427444.061955392</v>
      </c>
      <c r="P105" s="103">
        <v>240396712.1052931</v>
      </c>
      <c r="Q105" s="103">
        <v>1870580.1085409226</v>
      </c>
      <c r="R105" s="103">
        <v>0</v>
      </c>
      <c r="S105" s="103">
        <v>8092092.26996243</v>
      </c>
      <c r="T105" s="1"/>
      <c r="U105" s="1"/>
      <c r="V105" s="103">
        <v>494476.96532809414</v>
      </c>
      <c r="Z105" s="47"/>
    </row>
    <row r="106" spans="1:26" s="44" customFormat="1" ht="15.75" x14ac:dyDescent="0.25">
      <c r="A106" s="104">
        <v>48183</v>
      </c>
      <c r="B106" s="105">
        <v>0</v>
      </c>
      <c r="C106" s="105">
        <v>0</v>
      </c>
      <c r="D106" s="105">
        <v>0</v>
      </c>
      <c r="E106" s="105">
        <v>7829063.9344913885</v>
      </c>
      <c r="F106" s="106">
        <v>754410523.30507255</v>
      </c>
      <c r="G106" s="105">
        <v>4695929.1593369637</v>
      </c>
      <c r="H106" s="105">
        <v>1525583.0020845444</v>
      </c>
      <c r="I106" s="105">
        <v>431111601.69224644</v>
      </c>
      <c r="J106" s="107">
        <v>323298921.61282611</v>
      </c>
      <c r="K106" s="107">
        <v>7829063.9344913885</v>
      </c>
      <c r="L106" s="107">
        <v>14050576.095912896</v>
      </c>
      <c r="M106" s="105">
        <v>-1748867.068575586</v>
      </c>
      <c r="N106" s="105">
        <v>90427444.061955392</v>
      </c>
      <c r="O106" s="105">
        <v>88678576.993379802</v>
      </c>
      <c r="P106" s="108">
        <v>234620344.61944631</v>
      </c>
      <c r="Q106" s="108">
        <v>1825632.912616234</v>
      </c>
      <c r="R106" s="108">
        <v>0</v>
      </c>
      <c r="S106" s="108">
        <v>8047145.0740377419</v>
      </c>
      <c r="T106" s="1"/>
      <c r="U106" s="1"/>
      <c r="V106" s="103">
        <v>482595.43566819461</v>
      </c>
      <c r="Z106" s="47"/>
    </row>
    <row r="107" spans="1:26" s="44" customFormat="1" ht="15.75" x14ac:dyDescent="0.25">
      <c r="A107" s="5">
        <v>48214</v>
      </c>
      <c r="B107" s="100">
        <v>0</v>
      </c>
      <c r="C107" s="100">
        <v>0</v>
      </c>
      <c r="D107" s="100">
        <v>0</v>
      </c>
      <c r="E107" s="100">
        <v>6624592.5599542465</v>
      </c>
      <c r="F107" s="99">
        <v>753206051.93053544</v>
      </c>
      <c r="G107" s="100">
        <v>4695929.1593369637</v>
      </c>
      <c r="H107" s="100">
        <v>1525583.0020845444</v>
      </c>
      <c r="I107" s="100">
        <v>437333113.85366797</v>
      </c>
      <c r="J107" s="8">
        <v>315872938.0768674</v>
      </c>
      <c r="K107" s="8">
        <v>6624592.5599542465</v>
      </c>
      <c r="L107" s="8">
        <v>12846104.721375754</v>
      </c>
      <c r="M107" s="100">
        <v>-1748867.068575586</v>
      </c>
      <c r="N107" s="100">
        <v>88678576.993379802</v>
      </c>
      <c r="O107" s="100">
        <v>86929709.924804211</v>
      </c>
      <c r="P107" s="103">
        <v>228943228.15206319</v>
      </c>
      <c r="Q107" s="103">
        <v>1781458.0108683864</v>
      </c>
      <c r="R107" s="103">
        <v>0</v>
      </c>
      <c r="S107" s="103">
        <v>8002970.172289894</v>
      </c>
      <c r="T107" s="1"/>
      <c r="U107" s="1"/>
      <c r="V107" s="103">
        <v>470918.05747936061</v>
      </c>
      <c r="Z107" s="47"/>
    </row>
    <row r="108" spans="1:26" s="44" customFormat="1" ht="15.75" x14ac:dyDescent="0.25">
      <c r="A108" s="5">
        <v>48245</v>
      </c>
      <c r="B108" s="100">
        <v>0</v>
      </c>
      <c r="C108" s="100">
        <v>0</v>
      </c>
      <c r="D108" s="100">
        <v>0</v>
      </c>
      <c r="E108" s="100">
        <v>5520493.7999618649</v>
      </c>
      <c r="F108" s="99">
        <v>752101953.17054296</v>
      </c>
      <c r="G108" s="100">
        <v>4695929.1593369637</v>
      </c>
      <c r="H108" s="100">
        <v>1525583.0020845444</v>
      </c>
      <c r="I108" s="100">
        <v>443554626.01508951</v>
      </c>
      <c r="J108" s="8">
        <v>308547327.1554535</v>
      </c>
      <c r="K108" s="8">
        <v>5520493.7999618649</v>
      </c>
      <c r="L108" s="8">
        <v>11742005.961383373</v>
      </c>
      <c r="M108" s="100">
        <v>-1748867.068575586</v>
      </c>
      <c r="N108" s="100">
        <v>86929709.924804211</v>
      </c>
      <c r="O108" s="100">
        <v>85180842.85622862</v>
      </c>
      <c r="P108" s="103">
        <v>223366484.29922488</v>
      </c>
      <c r="Q108" s="103">
        <v>1738064.1306851243</v>
      </c>
      <c r="R108" s="103">
        <v>0</v>
      </c>
      <c r="S108" s="103">
        <v>7959576.2921066321</v>
      </c>
      <c r="T108" s="1"/>
      <c r="U108" s="1"/>
      <c r="V108" s="103">
        <v>459447.13779575116</v>
      </c>
      <c r="Z108" s="47"/>
    </row>
    <row r="109" spans="1:26" s="44" customFormat="1" ht="15.75" x14ac:dyDescent="0.25">
      <c r="A109" s="104">
        <v>48274</v>
      </c>
      <c r="B109" s="105">
        <v>0</v>
      </c>
      <c r="C109" s="105">
        <v>0</v>
      </c>
      <c r="D109" s="105">
        <v>0</v>
      </c>
      <c r="E109" s="105">
        <v>4516767.6545142494</v>
      </c>
      <c r="F109" s="106">
        <v>751098227.02509534</v>
      </c>
      <c r="G109" s="105">
        <v>4695929.1593369637</v>
      </c>
      <c r="H109" s="105">
        <v>1525583.0020845444</v>
      </c>
      <c r="I109" s="105">
        <v>449776138.17651105</v>
      </c>
      <c r="J109" s="107">
        <v>301322088.84858435</v>
      </c>
      <c r="K109" s="107">
        <v>4516767.6545142494</v>
      </c>
      <c r="L109" s="107">
        <v>10738279.815935757</v>
      </c>
      <c r="M109" s="105">
        <v>-1748867.068575586</v>
      </c>
      <c r="N109" s="105">
        <v>85180842.85622862</v>
      </c>
      <c r="O109" s="105">
        <v>83431975.787653029</v>
      </c>
      <c r="P109" s="108">
        <v>217890113.06093132</v>
      </c>
      <c r="Q109" s="108">
        <v>1695451.2720664479</v>
      </c>
      <c r="R109" s="108">
        <v>0</v>
      </c>
      <c r="S109" s="108">
        <v>7916963.4334879555</v>
      </c>
      <c r="T109" s="1"/>
      <c r="U109" s="1"/>
      <c r="V109" s="103">
        <v>448182.6766173662</v>
      </c>
      <c r="Z109" s="47"/>
    </row>
    <row r="110" spans="1:26" s="44" customFormat="1" ht="15.75" x14ac:dyDescent="0.25">
      <c r="A110" s="5">
        <v>48305</v>
      </c>
      <c r="B110" s="100">
        <v>0</v>
      </c>
      <c r="C110" s="100">
        <v>0</v>
      </c>
      <c r="D110" s="100">
        <v>0</v>
      </c>
      <c r="E110" s="100">
        <v>3613414.1236113948</v>
      </c>
      <c r="F110" s="99">
        <v>750194873.4941926</v>
      </c>
      <c r="G110" s="100">
        <v>4695929.1593369637</v>
      </c>
      <c r="H110" s="100">
        <v>1525583.0020845444</v>
      </c>
      <c r="I110" s="100">
        <v>455997650.33793259</v>
      </c>
      <c r="J110" s="8">
        <v>294197223.15625995</v>
      </c>
      <c r="K110" s="8">
        <v>3613414.1236113948</v>
      </c>
      <c r="L110" s="8">
        <v>9834926.2850329019</v>
      </c>
      <c r="M110" s="100">
        <v>-1748867.068575586</v>
      </c>
      <c r="N110" s="100">
        <v>83431975.787653029</v>
      </c>
      <c r="O110" s="100">
        <v>81683108.719077438</v>
      </c>
      <c r="P110" s="103">
        <v>212514114.43718252</v>
      </c>
      <c r="Q110" s="103">
        <v>1653619.4350123566</v>
      </c>
      <c r="R110" s="103">
        <v>0</v>
      </c>
      <c r="S110" s="103">
        <v>7875131.596433864</v>
      </c>
      <c r="T110" s="1"/>
      <c r="U110" s="1"/>
      <c r="V110" s="103">
        <v>437124.67394420574</v>
      </c>
      <c r="Z110" s="47"/>
    </row>
    <row r="111" spans="1:26" s="44" customFormat="1" ht="15.75" x14ac:dyDescent="0.25">
      <c r="A111" s="5">
        <v>48335</v>
      </c>
      <c r="B111" s="100">
        <v>0</v>
      </c>
      <c r="C111" s="100">
        <v>0</v>
      </c>
      <c r="D111" s="100">
        <v>0</v>
      </c>
      <c r="E111" s="100">
        <v>2810433.2072533001</v>
      </c>
      <c r="F111" s="99">
        <v>749391892.57783449</v>
      </c>
      <c r="G111" s="100">
        <v>4695929.1593369637</v>
      </c>
      <c r="H111" s="100">
        <v>1525583.0020845444</v>
      </c>
      <c r="I111" s="100">
        <v>462219162.49935412</v>
      </c>
      <c r="J111" s="8">
        <v>287172730.0784803</v>
      </c>
      <c r="K111" s="8">
        <v>2810433.2072533001</v>
      </c>
      <c r="L111" s="8">
        <v>9031945.3686748073</v>
      </c>
      <c r="M111" s="100">
        <v>-1748867.068575586</v>
      </c>
      <c r="N111" s="100">
        <v>81683108.719077438</v>
      </c>
      <c r="O111" s="100">
        <v>79934241.650501847</v>
      </c>
      <c r="P111" s="103">
        <v>207238488.42797846</v>
      </c>
      <c r="Q111" s="103">
        <v>1612568.6195228507</v>
      </c>
      <c r="R111" s="103">
        <v>0</v>
      </c>
      <c r="S111" s="103">
        <v>7834080.7809443586</v>
      </c>
      <c r="T111" s="1"/>
      <c r="U111" s="1"/>
      <c r="V111" s="103">
        <v>426273.12977626972</v>
      </c>
      <c r="Z111" s="47"/>
    </row>
    <row r="112" spans="1:26" s="44" customFormat="1" ht="15.75" x14ac:dyDescent="0.25">
      <c r="A112" s="104">
        <v>48366</v>
      </c>
      <c r="B112" s="105">
        <v>0</v>
      </c>
      <c r="C112" s="105">
        <v>0</v>
      </c>
      <c r="D112" s="105">
        <v>0</v>
      </c>
      <c r="E112" s="105">
        <v>2107824.9054399678</v>
      </c>
      <c r="F112" s="106">
        <v>748689284.27602112</v>
      </c>
      <c r="G112" s="105">
        <v>4695929.1593369637</v>
      </c>
      <c r="H112" s="105">
        <v>1525583.0020845444</v>
      </c>
      <c r="I112" s="105">
        <v>468440674.66077566</v>
      </c>
      <c r="J112" s="107">
        <v>280248609.61524546</v>
      </c>
      <c r="K112" s="107">
        <v>2107824.9054399678</v>
      </c>
      <c r="L112" s="107">
        <v>8329337.0668614749</v>
      </c>
      <c r="M112" s="105">
        <v>-1748867.068575586</v>
      </c>
      <c r="N112" s="105">
        <v>79934241.650501847</v>
      </c>
      <c r="O112" s="105">
        <v>78185374.581926256</v>
      </c>
      <c r="P112" s="108">
        <v>202063235.03331921</v>
      </c>
      <c r="Q112" s="108">
        <v>1572298.8255979307</v>
      </c>
      <c r="R112" s="108">
        <v>0</v>
      </c>
      <c r="S112" s="108">
        <v>7793810.9870194383</v>
      </c>
      <c r="T112" s="1"/>
      <c r="U112" s="1"/>
      <c r="V112" s="103">
        <v>415628.04411355825</v>
      </c>
      <c r="Z112" s="47"/>
    </row>
    <row r="113" spans="1:26" s="44" customFormat="1" ht="15.75" x14ac:dyDescent="0.25">
      <c r="A113" s="5">
        <v>48396</v>
      </c>
      <c r="B113" s="100">
        <v>0</v>
      </c>
      <c r="C113" s="100">
        <v>0</v>
      </c>
      <c r="D113" s="100">
        <v>0</v>
      </c>
      <c r="E113" s="100">
        <v>1505589.2181713977</v>
      </c>
      <c r="F113" s="99">
        <v>748087048.58875251</v>
      </c>
      <c r="G113" s="100">
        <v>4695929.1593369637</v>
      </c>
      <c r="H113" s="100">
        <v>1525583.0020845444</v>
      </c>
      <c r="I113" s="100">
        <v>474662186.8221972</v>
      </c>
      <c r="J113" s="8">
        <v>273424861.76655537</v>
      </c>
      <c r="K113" s="8">
        <v>1505589.2181713977</v>
      </c>
      <c r="L113" s="8">
        <v>7727101.3795929048</v>
      </c>
      <c r="M113" s="100">
        <v>-1748867.068575586</v>
      </c>
      <c r="N113" s="100">
        <v>78185374.581926256</v>
      </c>
      <c r="O113" s="100">
        <v>76436507.513350666</v>
      </c>
      <c r="P113" s="103">
        <v>196988354.2532047</v>
      </c>
      <c r="Q113" s="103">
        <v>1532810.0532375961</v>
      </c>
      <c r="R113" s="103">
        <v>0</v>
      </c>
      <c r="S113" s="103">
        <v>7754322.2146591041</v>
      </c>
      <c r="T113" s="1"/>
      <c r="U113" s="1"/>
      <c r="V113" s="103">
        <v>405189.41695607128</v>
      </c>
      <c r="Z113" s="47"/>
    </row>
    <row r="114" spans="1:26" s="44" customFormat="1" ht="15.75" x14ac:dyDescent="0.25">
      <c r="A114" s="5">
        <v>48427</v>
      </c>
      <c r="B114" s="100">
        <v>0</v>
      </c>
      <c r="C114" s="100">
        <v>0</v>
      </c>
      <c r="D114" s="100">
        <v>0</v>
      </c>
      <c r="E114" s="100">
        <v>1003726.1454475888</v>
      </c>
      <c r="F114" s="99">
        <v>747585185.51602876</v>
      </c>
      <c r="G114" s="100">
        <v>4695929.1593369637</v>
      </c>
      <c r="H114" s="100">
        <v>1525583.0020845444</v>
      </c>
      <c r="I114" s="100">
        <v>480883698.98361874</v>
      </c>
      <c r="J114" s="8">
        <v>266701486.53241</v>
      </c>
      <c r="K114" s="8">
        <v>1003726.1454475888</v>
      </c>
      <c r="L114" s="8">
        <v>7225238.3068690961</v>
      </c>
      <c r="M114" s="100">
        <v>-1748867.068575586</v>
      </c>
      <c r="N114" s="100">
        <v>76436507.513350666</v>
      </c>
      <c r="O114" s="100">
        <v>74687640.444775075</v>
      </c>
      <c r="P114" s="103">
        <v>192013846.08763492</v>
      </c>
      <c r="Q114" s="103">
        <v>1494102.3024418466</v>
      </c>
      <c r="R114" s="103">
        <v>0</v>
      </c>
      <c r="S114" s="103">
        <v>7715614.4638633542</v>
      </c>
      <c r="T114" s="1"/>
      <c r="U114" s="1"/>
      <c r="V114" s="103">
        <v>394957.24830380874</v>
      </c>
      <c r="Z114" s="47"/>
    </row>
    <row r="115" spans="1:26" s="44" customFormat="1" ht="15.75" x14ac:dyDescent="0.25">
      <c r="A115" s="104">
        <v>48458</v>
      </c>
      <c r="B115" s="105">
        <v>0</v>
      </c>
      <c r="C115" s="105">
        <v>0</v>
      </c>
      <c r="D115" s="105">
        <v>0</v>
      </c>
      <c r="E115" s="105">
        <v>602235.68726854166</v>
      </c>
      <c r="F115" s="106">
        <v>747183695.05784965</v>
      </c>
      <c r="G115" s="105">
        <v>4695929.1593369637</v>
      </c>
      <c r="H115" s="105">
        <v>1525583.0020845444</v>
      </c>
      <c r="I115" s="105">
        <v>487105211.14504027</v>
      </c>
      <c r="J115" s="107">
        <v>260078483.91280943</v>
      </c>
      <c r="K115" s="107">
        <v>602235.68726854166</v>
      </c>
      <c r="L115" s="107">
        <v>6823747.8486900497</v>
      </c>
      <c r="M115" s="105">
        <v>-1748867.068575586</v>
      </c>
      <c r="N115" s="105">
        <v>74687640.444775075</v>
      </c>
      <c r="O115" s="105">
        <v>72938773.376199484</v>
      </c>
      <c r="P115" s="108">
        <v>187139710.53660995</v>
      </c>
      <c r="Q115" s="108">
        <v>1456175.5732106827</v>
      </c>
      <c r="R115" s="108">
        <v>0</v>
      </c>
      <c r="S115" s="108">
        <v>7677687.7346321903</v>
      </c>
      <c r="T115" s="1"/>
      <c r="U115" s="1"/>
      <c r="V115" s="103">
        <v>384931.53815677069</v>
      </c>
      <c r="Z115" s="47"/>
    </row>
    <row r="116" spans="1:26" s="44" customFormat="1" ht="15.75" x14ac:dyDescent="0.25">
      <c r="A116" s="5">
        <v>48488</v>
      </c>
      <c r="B116" s="100">
        <v>0</v>
      </c>
      <c r="C116" s="100">
        <v>0</v>
      </c>
      <c r="D116" s="100">
        <v>0</v>
      </c>
      <c r="E116" s="100">
        <v>301117.84363425645</v>
      </c>
      <c r="F116" s="99">
        <v>746882577.2142154</v>
      </c>
      <c r="G116" s="100">
        <v>4695929.1593369637</v>
      </c>
      <c r="H116" s="100">
        <v>1525583.0020845444</v>
      </c>
      <c r="I116" s="100">
        <v>493326723.30646181</v>
      </c>
      <c r="J116" s="8">
        <v>253555853.90775359</v>
      </c>
      <c r="K116" s="8">
        <v>301117.84363425645</v>
      </c>
      <c r="L116" s="8">
        <v>6522630.0050557638</v>
      </c>
      <c r="M116" s="100">
        <v>-1748867.068575586</v>
      </c>
      <c r="N116" s="100">
        <v>72938773.376199484</v>
      </c>
      <c r="O116" s="100">
        <v>71189906.307623893</v>
      </c>
      <c r="P116" s="103">
        <v>182365947.60012969</v>
      </c>
      <c r="Q116" s="103">
        <v>1419029.8655441043</v>
      </c>
      <c r="R116" s="103">
        <v>0</v>
      </c>
      <c r="S116" s="103">
        <v>7640542.0269656116</v>
      </c>
      <c r="T116" s="1"/>
      <c r="U116" s="1"/>
      <c r="V116" s="103">
        <v>375112.28651495714</v>
      </c>
      <c r="Z116" s="47"/>
    </row>
    <row r="117" spans="1:26" s="44" customFormat="1" ht="15.75" x14ac:dyDescent="0.25">
      <c r="A117" s="5">
        <v>48519</v>
      </c>
      <c r="B117" s="100">
        <v>0</v>
      </c>
      <c r="C117" s="100">
        <v>0</v>
      </c>
      <c r="D117" s="100">
        <v>0</v>
      </c>
      <c r="E117" s="100">
        <v>100372.61454473298</v>
      </c>
      <c r="F117" s="99">
        <v>746681831.9851259</v>
      </c>
      <c r="G117" s="100">
        <v>4695929.1593369637</v>
      </c>
      <c r="H117" s="100">
        <v>1525583.0020845444</v>
      </c>
      <c r="I117" s="100">
        <v>499548235.46788335</v>
      </c>
      <c r="J117" s="8">
        <v>247133596.51724252</v>
      </c>
      <c r="K117" s="8">
        <v>100372.61454473298</v>
      </c>
      <c r="L117" s="8">
        <v>6321884.775966241</v>
      </c>
      <c r="M117" s="100">
        <v>-1748867.068575586</v>
      </c>
      <c r="N117" s="100">
        <v>71189906.307623893</v>
      </c>
      <c r="O117" s="100">
        <v>69441039.239048302</v>
      </c>
      <c r="P117" s="103">
        <v>177692557.27819422</v>
      </c>
      <c r="Q117" s="103">
        <v>1382665.1794421112</v>
      </c>
      <c r="R117" s="103">
        <v>0</v>
      </c>
      <c r="S117" s="103">
        <v>7604177.340863619</v>
      </c>
      <c r="T117" s="1"/>
      <c r="U117" s="1"/>
      <c r="V117" s="103">
        <v>365499.49337836815</v>
      </c>
      <c r="Z117" s="47"/>
    </row>
    <row r="118" spans="1:26" s="44" customFormat="1" ht="15.75" x14ac:dyDescent="0.25">
      <c r="A118" s="104">
        <v>48549</v>
      </c>
      <c r="B118" s="105">
        <v>0</v>
      </c>
      <c r="C118" s="105">
        <v>0</v>
      </c>
      <c r="D118" s="105">
        <v>0</v>
      </c>
      <c r="E118" s="105">
        <v>0</v>
      </c>
      <c r="F118" s="106">
        <v>746581459.37058115</v>
      </c>
      <c r="G118" s="105">
        <v>4695929.1593369637</v>
      </c>
      <c r="H118" s="105">
        <v>1525583.0020845444</v>
      </c>
      <c r="I118" s="105">
        <v>505769747.62930489</v>
      </c>
      <c r="J118" s="107">
        <v>240811711.74127626</v>
      </c>
      <c r="K118" s="107">
        <v>0</v>
      </c>
      <c r="L118" s="107">
        <v>6221512.1614215076</v>
      </c>
      <c r="M118" s="105">
        <v>-1748867.068575586</v>
      </c>
      <c r="N118" s="105">
        <v>69441039.239048302</v>
      </c>
      <c r="O118" s="105">
        <v>67692172.170472711</v>
      </c>
      <c r="P118" s="108">
        <v>173119539.57080355</v>
      </c>
      <c r="Q118" s="108">
        <v>1347081.5149047042</v>
      </c>
      <c r="R118" s="108">
        <v>0</v>
      </c>
      <c r="S118" s="108">
        <v>7568593.6763262115</v>
      </c>
      <c r="T118" s="1"/>
      <c r="U118" s="1"/>
      <c r="V118" s="103">
        <v>356093.15874700365</v>
      </c>
      <c r="Z118" s="47"/>
    </row>
    <row r="119" spans="1:26" s="44" customFormat="1" ht="15.75" x14ac:dyDescent="0.25">
      <c r="A119" s="5">
        <v>48580</v>
      </c>
      <c r="B119" s="100">
        <v>0</v>
      </c>
      <c r="C119" s="100">
        <v>0</v>
      </c>
      <c r="D119" s="100">
        <v>0</v>
      </c>
      <c r="E119" s="100">
        <v>0</v>
      </c>
      <c r="F119" s="99">
        <v>746581459.37058115</v>
      </c>
      <c r="G119" s="100">
        <v>4695929.1593369637</v>
      </c>
      <c r="H119" s="100">
        <v>1525583.0020845444</v>
      </c>
      <c r="I119" s="100">
        <v>511991259.79072642</v>
      </c>
      <c r="J119" s="8">
        <v>234590199.57985473</v>
      </c>
      <c r="K119" s="8">
        <v>0</v>
      </c>
      <c r="L119" s="8">
        <v>6221512.1614215076</v>
      </c>
      <c r="M119" s="100">
        <v>-1748867.068575586</v>
      </c>
      <c r="N119" s="100">
        <v>67692172.170472711</v>
      </c>
      <c r="O119" s="100">
        <v>65943305.101897128</v>
      </c>
      <c r="P119" s="103">
        <v>168646894.47795761</v>
      </c>
      <c r="Q119" s="103">
        <v>1312278.8719318821</v>
      </c>
      <c r="R119" s="103">
        <v>0</v>
      </c>
      <c r="S119" s="103">
        <v>7533791.0333533902</v>
      </c>
      <c r="T119" s="1"/>
      <c r="U119" s="1"/>
      <c r="V119" s="103">
        <v>346893.28262086352</v>
      </c>
      <c r="Z119" s="47"/>
    </row>
    <row r="120" spans="1:26" s="44" customFormat="1" ht="15.75" x14ac:dyDescent="0.25">
      <c r="A120" s="5">
        <v>48611</v>
      </c>
      <c r="B120" s="100">
        <v>0</v>
      </c>
      <c r="C120" s="100">
        <v>0</v>
      </c>
      <c r="D120" s="100">
        <v>0</v>
      </c>
      <c r="E120" s="100">
        <v>0</v>
      </c>
      <c r="F120" s="99">
        <v>746581459.37058115</v>
      </c>
      <c r="G120" s="100">
        <v>4695929.1593369637</v>
      </c>
      <c r="H120" s="100">
        <v>1525583.0020845444</v>
      </c>
      <c r="I120" s="100">
        <v>518212771.95214796</v>
      </c>
      <c r="J120" s="8">
        <v>228368687.41843319</v>
      </c>
      <c r="K120" s="8">
        <v>0</v>
      </c>
      <c r="L120" s="8">
        <v>6221512.1614215076</v>
      </c>
      <c r="M120" s="100">
        <v>-1748867.068575586</v>
      </c>
      <c r="N120" s="100">
        <v>65943305.101897128</v>
      </c>
      <c r="O120" s="100">
        <v>64194438.033321545</v>
      </c>
      <c r="P120" s="103">
        <v>164174249.38511163</v>
      </c>
      <c r="Q120" s="103">
        <v>1277476.2289590598</v>
      </c>
      <c r="R120" s="103">
        <v>0</v>
      </c>
      <c r="S120" s="103">
        <v>7498988.3903805669</v>
      </c>
      <c r="T120" s="1"/>
      <c r="U120" s="1"/>
      <c r="V120" s="103">
        <v>337693.4064947234</v>
      </c>
      <c r="Z120" s="47"/>
    </row>
    <row r="121" spans="1:26" s="44" customFormat="1" ht="15.75" x14ac:dyDescent="0.25">
      <c r="A121" s="104">
        <v>48639</v>
      </c>
      <c r="B121" s="105">
        <v>0</v>
      </c>
      <c r="C121" s="105">
        <v>0</v>
      </c>
      <c r="D121" s="105">
        <v>0</v>
      </c>
      <c r="E121" s="105">
        <v>0</v>
      </c>
      <c r="F121" s="106">
        <v>746581459.37058115</v>
      </c>
      <c r="G121" s="105">
        <v>4695929.1593369637</v>
      </c>
      <c r="H121" s="105">
        <v>1525583.0020845444</v>
      </c>
      <c r="I121" s="105">
        <v>524434284.1135695</v>
      </c>
      <c r="J121" s="107">
        <v>222147175.25701165</v>
      </c>
      <c r="K121" s="107">
        <v>0</v>
      </c>
      <c r="L121" s="107">
        <v>6221512.1614215076</v>
      </c>
      <c r="M121" s="105">
        <v>-1748867.068575586</v>
      </c>
      <c r="N121" s="105">
        <v>64194438.033321545</v>
      </c>
      <c r="O121" s="105">
        <v>62445570.964745961</v>
      </c>
      <c r="P121" s="108">
        <v>159701604.29226568</v>
      </c>
      <c r="Q121" s="108">
        <v>1242673.585986238</v>
      </c>
      <c r="R121" s="108">
        <v>0</v>
      </c>
      <c r="S121" s="108">
        <v>7464185.7474077456</v>
      </c>
      <c r="T121" s="1"/>
      <c r="U121" s="1"/>
      <c r="V121" s="103">
        <v>328493.53036858334</v>
      </c>
      <c r="Z121" s="47"/>
    </row>
    <row r="122" spans="1:26" s="44" customFormat="1" ht="15.75" x14ac:dyDescent="0.25">
      <c r="A122" s="5">
        <v>48670</v>
      </c>
      <c r="B122" s="100">
        <v>0</v>
      </c>
      <c r="C122" s="100">
        <v>0</v>
      </c>
      <c r="D122" s="100">
        <v>0</v>
      </c>
      <c r="E122" s="100">
        <v>0</v>
      </c>
      <c r="F122" s="99">
        <v>746581459.37058115</v>
      </c>
      <c r="G122" s="100">
        <v>4695929.1593369637</v>
      </c>
      <c r="H122" s="100">
        <v>1525583.0020845444</v>
      </c>
      <c r="I122" s="100">
        <v>530655796.27499104</v>
      </c>
      <c r="J122" s="8">
        <v>215925663.09559011</v>
      </c>
      <c r="K122" s="8">
        <v>0</v>
      </c>
      <c r="L122" s="8">
        <v>6221512.1614215076</v>
      </c>
      <c r="M122" s="100">
        <v>-1748867.068575586</v>
      </c>
      <c r="N122" s="100">
        <v>62445570.964745961</v>
      </c>
      <c r="O122" s="100">
        <v>60696703.896170378</v>
      </c>
      <c r="P122" s="103">
        <v>155228959.19941974</v>
      </c>
      <c r="Q122" s="103">
        <v>1207870.9430134159</v>
      </c>
      <c r="R122" s="103">
        <v>0</v>
      </c>
      <c r="S122" s="103">
        <v>7429383.1044349233</v>
      </c>
      <c r="T122" s="1"/>
      <c r="U122" s="1"/>
      <c r="V122" s="103">
        <v>319293.65424244321</v>
      </c>
      <c r="Z122" s="47"/>
    </row>
    <row r="123" spans="1:26" s="44" customFormat="1" ht="15.75" x14ac:dyDescent="0.25">
      <c r="A123" s="5">
        <v>48700</v>
      </c>
      <c r="B123" s="100">
        <v>0</v>
      </c>
      <c r="C123" s="100">
        <v>0</v>
      </c>
      <c r="D123" s="100">
        <v>0</v>
      </c>
      <c r="E123" s="100">
        <v>0</v>
      </c>
      <c r="F123" s="99">
        <v>746581459.37058115</v>
      </c>
      <c r="G123" s="100">
        <v>4695929.1593369637</v>
      </c>
      <c r="H123" s="100">
        <v>1525583.0020845444</v>
      </c>
      <c r="I123" s="100">
        <v>536877308.43641257</v>
      </c>
      <c r="J123" s="8">
        <v>209704150.93416858</v>
      </c>
      <c r="K123" s="8">
        <v>0</v>
      </c>
      <c r="L123" s="8">
        <v>6221512.1614215076</v>
      </c>
      <c r="M123" s="100">
        <v>-1748867.068575586</v>
      </c>
      <c r="N123" s="100">
        <v>60696703.896170378</v>
      </c>
      <c r="O123" s="100">
        <v>58947836.827594794</v>
      </c>
      <c r="P123" s="103">
        <v>150756314.10657379</v>
      </c>
      <c r="Q123" s="103">
        <v>1173068.3000405938</v>
      </c>
      <c r="R123" s="103">
        <v>0</v>
      </c>
      <c r="S123" s="103">
        <v>7394580.461462101</v>
      </c>
      <c r="T123" s="1"/>
      <c r="U123" s="1"/>
      <c r="V123" s="103">
        <v>310093.77811630315</v>
      </c>
      <c r="Z123" s="47"/>
    </row>
    <row r="124" spans="1:26" s="44" customFormat="1" ht="15.75" x14ac:dyDescent="0.25">
      <c r="A124" s="104">
        <v>48731</v>
      </c>
      <c r="B124" s="105">
        <v>0</v>
      </c>
      <c r="C124" s="105">
        <v>0</v>
      </c>
      <c r="D124" s="105">
        <v>0</v>
      </c>
      <c r="E124" s="105">
        <v>0</v>
      </c>
      <c r="F124" s="106">
        <v>746581459.37058115</v>
      </c>
      <c r="G124" s="105">
        <v>4695929.1593369637</v>
      </c>
      <c r="H124" s="105">
        <v>1525583.0020845444</v>
      </c>
      <c r="I124" s="105">
        <v>543098820.59783399</v>
      </c>
      <c r="J124" s="107">
        <v>203482638.77274716</v>
      </c>
      <c r="K124" s="107">
        <v>0</v>
      </c>
      <c r="L124" s="107">
        <v>6221512.1614215076</v>
      </c>
      <c r="M124" s="105">
        <v>-1748867.068575586</v>
      </c>
      <c r="N124" s="105">
        <v>58947836.827594794</v>
      </c>
      <c r="O124" s="105">
        <v>57198969.759019211</v>
      </c>
      <c r="P124" s="108">
        <v>146283669.01372796</v>
      </c>
      <c r="Q124" s="108">
        <v>1138265.6570677727</v>
      </c>
      <c r="R124" s="108">
        <v>0</v>
      </c>
      <c r="S124" s="108">
        <v>7359777.8184892805</v>
      </c>
      <c r="T124" s="1"/>
      <c r="U124" s="1"/>
      <c r="V124" s="103">
        <v>300893.90199016331</v>
      </c>
      <c r="Z124" s="47"/>
    </row>
    <row r="125" spans="1:26" s="44" customFormat="1" ht="15.75" x14ac:dyDescent="0.25">
      <c r="A125" s="5">
        <v>48761</v>
      </c>
      <c r="B125" s="100">
        <v>0</v>
      </c>
      <c r="C125" s="100">
        <v>0</v>
      </c>
      <c r="D125" s="100">
        <v>0</v>
      </c>
      <c r="E125" s="100">
        <v>0</v>
      </c>
      <c r="F125" s="99">
        <v>746581459.37058115</v>
      </c>
      <c r="G125" s="100">
        <v>4695929.1593369637</v>
      </c>
      <c r="H125" s="100">
        <v>1525583.0020845444</v>
      </c>
      <c r="I125" s="100">
        <v>549320332.75925541</v>
      </c>
      <c r="J125" s="8">
        <v>197261126.61132574</v>
      </c>
      <c r="K125" s="8">
        <v>0</v>
      </c>
      <c r="L125" s="8">
        <v>6221512.1614215076</v>
      </c>
      <c r="M125" s="100">
        <v>-1748867.068575586</v>
      </c>
      <c r="N125" s="100">
        <v>57198969.759019211</v>
      </c>
      <c r="O125" s="100">
        <v>55450102.690443628</v>
      </c>
      <c r="P125" s="103">
        <v>141811023.92088211</v>
      </c>
      <c r="Q125" s="103">
        <v>1103463.0140949513</v>
      </c>
      <c r="R125" s="103">
        <v>0</v>
      </c>
      <c r="S125" s="103">
        <v>7324975.1755164592</v>
      </c>
      <c r="T125" s="1"/>
      <c r="U125" s="1"/>
      <c r="V125" s="103">
        <v>291694.02586402342</v>
      </c>
      <c r="Z125" s="47"/>
    </row>
    <row r="126" spans="1:26" s="44" customFormat="1" ht="15.75" x14ac:dyDescent="0.25">
      <c r="A126" s="5">
        <v>48792</v>
      </c>
      <c r="B126" s="100">
        <v>0</v>
      </c>
      <c r="C126" s="100">
        <v>0</v>
      </c>
      <c r="D126" s="100">
        <v>0</v>
      </c>
      <c r="E126" s="100">
        <v>0</v>
      </c>
      <c r="F126" s="99">
        <v>746581459.37058115</v>
      </c>
      <c r="G126" s="100">
        <v>4695929.1593369637</v>
      </c>
      <c r="H126" s="100">
        <v>1525583.0020845444</v>
      </c>
      <c r="I126" s="100">
        <v>555541844.92067683</v>
      </c>
      <c r="J126" s="8">
        <v>191039614.44990432</v>
      </c>
      <c r="K126" s="8">
        <v>0</v>
      </c>
      <c r="L126" s="8">
        <v>6221512.1614215076</v>
      </c>
      <c r="M126" s="100">
        <v>-1748867.068575586</v>
      </c>
      <c r="N126" s="100">
        <v>55450102.690443628</v>
      </c>
      <c r="O126" s="100">
        <v>53701235.621868044</v>
      </c>
      <c r="P126" s="103">
        <v>137338378.82803628</v>
      </c>
      <c r="Q126" s="103">
        <v>1068660.3711221304</v>
      </c>
      <c r="R126" s="103">
        <v>0</v>
      </c>
      <c r="S126" s="103">
        <v>7290172.5325436378</v>
      </c>
      <c r="T126" s="1"/>
      <c r="U126" s="1"/>
      <c r="V126" s="103">
        <v>282494.14973788359</v>
      </c>
      <c r="Z126" s="47"/>
    </row>
    <row r="127" spans="1:26" s="44" customFormat="1" ht="15.75" x14ac:dyDescent="0.25">
      <c r="A127" s="104">
        <v>48823</v>
      </c>
      <c r="B127" s="105">
        <v>0</v>
      </c>
      <c r="C127" s="105">
        <v>0</v>
      </c>
      <c r="D127" s="105">
        <v>0</v>
      </c>
      <c r="E127" s="105">
        <v>0</v>
      </c>
      <c r="F127" s="106">
        <v>746581459.37058115</v>
      </c>
      <c r="G127" s="105">
        <v>4695929.1593369637</v>
      </c>
      <c r="H127" s="105">
        <v>1525583.0020845444</v>
      </c>
      <c r="I127" s="105">
        <v>561763357.08209825</v>
      </c>
      <c r="J127" s="107">
        <v>184818102.2884829</v>
      </c>
      <c r="K127" s="107">
        <v>0</v>
      </c>
      <c r="L127" s="107">
        <v>6221512.1614215076</v>
      </c>
      <c r="M127" s="105">
        <v>-1748867.068575586</v>
      </c>
      <c r="N127" s="105">
        <v>53701235.621868044</v>
      </c>
      <c r="O127" s="105">
        <v>51952368.553292461</v>
      </c>
      <c r="P127" s="108">
        <v>132865733.73519045</v>
      </c>
      <c r="Q127" s="108">
        <v>1033857.7281493093</v>
      </c>
      <c r="R127" s="108">
        <v>0</v>
      </c>
      <c r="S127" s="108">
        <v>7255369.8895708174</v>
      </c>
      <c r="T127" s="1"/>
      <c r="U127" s="1"/>
      <c r="V127" s="103">
        <v>273294.27361174376</v>
      </c>
      <c r="Z127" s="47"/>
    </row>
    <row r="128" spans="1:26" s="44" customFormat="1" ht="15.75" x14ac:dyDescent="0.25">
      <c r="A128" s="5">
        <v>48853</v>
      </c>
      <c r="B128" s="100">
        <v>0</v>
      </c>
      <c r="C128" s="100">
        <v>0</v>
      </c>
      <c r="D128" s="100">
        <v>0</v>
      </c>
      <c r="E128" s="100">
        <v>0</v>
      </c>
      <c r="F128" s="99">
        <v>746581459.37058115</v>
      </c>
      <c r="G128" s="100">
        <v>4695929.1593369637</v>
      </c>
      <c r="H128" s="100">
        <v>1525583.0020845444</v>
      </c>
      <c r="I128" s="100">
        <v>567984869.24351966</v>
      </c>
      <c r="J128" s="8">
        <v>178596590.12706149</v>
      </c>
      <c r="K128" s="8">
        <v>0</v>
      </c>
      <c r="L128" s="8">
        <v>6221512.1614215076</v>
      </c>
      <c r="M128" s="100">
        <v>-1748867.068575586</v>
      </c>
      <c r="N128" s="100">
        <v>51952368.553292461</v>
      </c>
      <c r="O128" s="100">
        <v>50203501.484716877</v>
      </c>
      <c r="P128" s="103">
        <v>128393088.64234461</v>
      </c>
      <c r="Q128" s="103">
        <v>999055.08517648804</v>
      </c>
      <c r="R128" s="103">
        <v>0</v>
      </c>
      <c r="S128" s="103">
        <v>7220567.246597996</v>
      </c>
      <c r="T128" s="1"/>
      <c r="U128" s="1"/>
      <c r="V128" s="103">
        <v>264094.39748560387</v>
      </c>
      <c r="Z128" s="47"/>
    </row>
    <row r="129" spans="1:26" s="44" customFormat="1" ht="15.75" x14ac:dyDescent="0.25">
      <c r="A129" s="5">
        <v>48884</v>
      </c>
      <c r="B129" s="100">
        <v>0</v>
      </c>
      <c r="C129" s="100">
        <v>0</v>
      </c>
      <c r="D129" s="100">
        <v>0</v>
      </c>
      <c r="E129" s="100">
        <v>0</v>
      </c>
      <c r="F129" s="99">
        <v>746581459.37058115</v>
      </c>
      <c r="G129" s="100">
        <v>4695929.1593369637</v>
      </c>
      <c r="H129" s="100">
        <v>1525583.0020845444</v>
      </c>
      <c r="I129" s="100">
        <v>574206381.40494108</v>
      </c>
      <c r="J129" s="8">
        <v>172375077.96564007</v>
      </c>
      <c r="K129" s="8">
        <v>0</v>
      </c>
      <c r="L129" s="8">
        <v>6221512.1614215076</v>
      </c>
      <c r="M129" s="100">
        <v>-1748867.068575586</v>
      </c>
      <c r="N129" s="100">
        <v>50203501.484716877</v>
      </c>
      <c r="O129" s="100">
        <v>48454634.416141294</v>
      </c>
      <c r="P129" s="103">
        <v>123920443.54949877</v>
      </c>
      <c r="Q129" s="103">
        <v>964252.4422036669</v>
      </c>
      <c r="R129" s="103">
        <v>0</v>
      </c>
      <c r="S129" s="103">
        <v>7185764.6036251746</v>
      </c>
      <c r="T129" s="1"/>
      <c r="U129" s="1"/>
      <c r="V129" s="103">
        <v>254894.52135946404</v>
      </c>
      <c r="Z129" s="47"/>
    </row>
    <row r="130" spans="1:26" s="44" customFormat="1" ht="15.75" x14ac:dyDescent="0.25">
      <c r="A130" s="104">
        <v>48914</v>
      </c>
      <c r="B130" s="105">
        <v>0</v>
      </c>
      <c r="C130" s="105">
        <v>0</v>
      </c>
      <c r="D130" s="105">
        <v>0</v>
      </c>
      <c r="E130" s="105">
        <v>0</v>
      </c>
      <c r="F130" s="106">
        <v>746581459.37058115</v>
      </c>
      <c r="G130" s="105">
        <v>4695929.1593369637</v>
      </c>
      <c r="H130" s="105">
        <v>1525583.0020845444</v>
      </c>
      <c r="I130" s="105">
        <v>580427893.5663625</v>
      </c>
      <c r="J130" s="107">
        <v>166153565.80421865</v>
      </c>
      <c r="K130" s="107">
        <v>0</v>
      </c>
      <c r="L130" s="107">
        <v>6221512.1614215076</v>
      </c>
      <c r="M130" s="105">
        <v>-1748867.068575586</v>
      </c>
      <c r="N130" s="105">
        <v>48454634.416141294</v>
      </c>
      <c r="O130" s="105">
        <v>46705767.347565711</v>
      </c>
      <c r="P130" s="108">
        <v>119447798.45665294</v>
      </c>
      <c r="Q130" s="108">
        <v>929449.79923084576</v>
      </c>
      <c r="R130" s="108">
        <v>0</v>
      </c>
      <c r="S130" s="108">
        <v>7150961.9606523532</v>
      </c>
      <c r="T130" s="1"/>
      <c r="U130" s="1"/>
      <c r="V130" s="103">
        <v>245694.64523332418</v>
      </c>
      <c r="Z130" s="47"/>
    </row>
    <row r="131" spans="1:26" s="44" customFormat="1" ht="15.75" x14ac:dyDescent="0.25">
      <c r="A131" s="5">
        <v>48945</v>
      </c>
      <c r="B131" s="100">
        <v>0</v>
      </c>
      <c r="C131" s="100">
        <v>0</v>
      </c>
      <c r="D131" s="100">
        <v>0</v>
      </c>
      <c r="E131" s="100">
        <v>0</v>
      </c>
      <c r="F131" s="99">
        <v>746581459.37058115</v>
      </c>
      <c r="G131" s="100">
        <v>4695929.1593369637</v>
      </c>
      <c r="H131" s="100">
        <v>1525583.0020845444</v>
      </c>
      <c r="I131" s="100">
        <v>586649405.72778392</v>
      </c>
      <c r="J131" s="8">
        <v>159932053.64279723</v>
      </c>
      <c r="K131" s="8">
        <v>0</v>
      </c>
      <c r="L131" s="8">
        <v>6221512.1614215076</v>
      </c>
      <c r="M131" s="100">
        <v>-1748867.068575586</v>
      </c>
      <c r="N131" s="100">
        <v>46705767.347565711</v>
      </c>
      <c r="O131" s="100">
        <v>44956900.278990127</v>
      </c>
      <c r="P131" s="103">
        <v>114975153.36380711</v>
      </c>
      <c r="Q131" s="103">
        <v>894647.15625802462</v>
      </c>
      <c r="R131" s="103">
        <v>0</v>
      </c>
      <c r="S131" s="103">
        <v>7116159.3176795319</v>
      </c>
      <c r="T131" s="1"/>
      <c r="U131" s="1"/>
      <c r="V131" s="103">
        <v>236494.76910718437</v>
      </c>
      <c r="Z131" s="47"/>
    </row>
    <row r="132" spans="1:26" s="44" customFormat="1" ht="15.75" x14ac:dyDescent="0.25">
      <c r="A132" s="5">
        <v>48976</v>
      </c>
      <c r="B132" s="100">
        <v>0</v>
      </c>
      <c r="C132" s="100">
        <v>0</v>
      </c>
      <c r="D132" s="100">
        <v>0</v>
      </c>
      <c r="E132" s="100">
        <v>0</v>
      </c>
      <c r="F132" s="99">
        <v>746581459.37058115</v>
      </c>
      <c r="G132" s="100">
        <v>4695929.1593369637</v>
      </c>
      <c r="H132" s="100">
        <v>1525583.0020845444</v>
      </c>
      <c r="I132" s="100">
        <v>592870917.88920534</v>
      </c>
      <c r="J132" s="8">
        <v>153710541.48137581</v>
      </c>
      <c r="K132" s="8">
        <v>0</v>
      </c>
      <c r="L132" s="8">
        <v>6221512.1614215076</v>
      </c>
      <c r="M132" s="100">
        <v>-1748867.068575586</v>
      </c>
      <c r="N132" s="100">
        <v>44956900.278990127</v>
      </c>
      <c r="O132" s="100">
        <v>43208033.210414544</v>
      </c>
      <c r="P132" s="103">
        <v>110502508.27096127</v>
      </c>
      <c r="Q132" s="103">
        <v>859844.51328520349</v>
      </c>
      <c r="R132" s="103">
        <v>0</v>
      </c>
      <c r="S132" s="103">
        <v>7081356.6747067114</v>
      </c>
      <c r="T132" s="1"/>
      <c r="U132" s="1"/>
      <c r="V132" s="103">
        <v>227294.89298104448</v>
      </c>
      <c r="Z132" s="47"/>
    </row>
    <row r="133" spans="1:26" s="44" customFormat="1" ht="15.75" x14ac:dyDescent="0.25">
      <c r="A133" s="104">
        <v>49004</v>
      </c>
      <c r="B133" s="105">
        <v>0</v>
      </c>
      <c r="C133" s="105">
        <v>0</v>
      </c>
      <c r="D133" s="105">
        <v>0</v>
      </c>
      <c r="E133" s="105">
        <v>0</v>
      </c>
      <c r="F133" s="106">
        <v>746581459.37058115</v>
      </c>
      <c r="G133" s="105">
        <v>4695929.1593369637</v>
      </c>
      <c r="H133" s="105">
        <v>1525583.0020845444</v>
      </c>
      <c r="I133" s="105">
        <v>599092430.05062675</v>
      </c>
      <c r="J133" s="107">
        <v>147489029.3199544</v>
      </c>
      <c r="K133" s="107">
        <v>0</v>
      </c>
      <c r="L133" s="107">
        <v>6221512.1614215076</v>
      </c>
      <c r="M133" s="105">
        <v>-1748867.068575586</v>
      </c>
      <c r="N133" s="105">
        <v>43208033.210414544</v>
      </c>
      <c r="O133" s="105">
        <v>41459166.14183896</v>
      </c>
      <c r="P133" s="108">
        <v>106029863.17811543</v>
      </c>
      <c r="Q133" s="108">
        <v>825041.87031238223</v>
      </c>
      <c r="R133" s="108">
        <v>0</v>
      </c>
      <c r="S133" s="108">
        <v>7046554.0317338901</v>
      </c>
      <c r="T133" s="1"/>
      <c r="U133" s="1"/>
      <c r="V133" s="103">
        <v>218095.01685490462</v>
      </c>
      <c r="Z133" s="47"/>
    </row>
    <row r="134" spans="1:26" s="44" customFormat="1" ht="15.75" x14ac:dyDescent="0.25">
      <c r="A134" s="5">
        <v>49035</v>
      </c>
      <c r="B134" s="100">
        <v>0</v>
      </c>
      <c r="C134" s="100">
        <v>0</v>
      </c>
      <c r="D134" s="100">
        <v>0</v>
      </c>
      <c r="E134" s="100">
        <v>0</v>
      </c>
      <c r="F134" s="99">
        <v>746581459.37058115</v>
      </c>
      <c r="G134" s="100">
        <v>4695929.1593369637</v>
      </c>
      <c r="H134" s="100">
        <v>1525583.0020845444</v>
      </c>
      <c r="I134" s="100">
        <v>605313942.21204817</v>
      </c>
      <c r="J134" s="8">
        <v>141267517.15853298</v>
      </c>
      <c r="K134" s="8">
        <v>0</v>
      </c>
      <c r="L134" s="8">
        <v>6221512.1614215076</v>
      </c>
      <c r="M134" s="100">
        <v>-1748867.068575586</v>
      </c>
      <c r="N134" s="100">
        <v>41459166.14183896</v>
      </c>
      <c r="O134" s="100">
        <v>39710299.073263377</v>
      </c>
      <c r="P134" s="103">
        <v>101557218.0852696</v>
      </c>
      <c r="Q134" s="103">
        <v>790239.22733956121</v>
      </c>
      <c r="R134" s="103">
        <v>0</v>
      </c>
      <c r="S134" s="103">
        <v>7011751.3887610687</v>
      </c>
      <c r="T134" s="1"/>
      <c r="U134" s="1"/>
      <c r="V134" s="103">
        <v>208895.14072876479</v>
      </c>
      <c r="Z134" s="47"/>
    </row>
    <row r="135" spans="1:26" s="44" customFormat="1" ht="15.75" x14ac:dyDescent="0.25">
      <c r="A135" s="5">
        <v>49065</v>
      </c>
      <c r="B135" s="100">
        <v>0</v>
      </c>
      <c r="C135" s="100">
        <v>0</v>
      </c>
      <c r="D135" s="100">
        <v>0</v>
      </c>
      <c r="E135" s="100">
        <v>0</v>
      </c>
      <c r="F135" s="99">
        <v>746581459.37058115</v>
      </c>
      <c r="G135" s="100">
        <v>4695929.1593369637</v>
      </c>
      <c r="H135" s="100">
        <v>1525583.0020845444</v>
      </c>
      <c r="I135" s="100">
        <v>611535454.37346959</v>
      </c>
      <c r="J135" s="8">
        <v>135046004.99711156</v>
      </c>
      <c r="K135" s="8">
        <v>0</v>
      </c>
      <c r="L135" s="8">
        <v>6221512.1614215076</v>
      </c>
      <c r="M135" s="100">
        <v>-1748867.068575586</v>
      </c>
      <c r="N135" s="100">
        <v>39710299.073263377</v>
      </c>
      <c r="O135" s="100">
        <v>37961432.004687794</v>
      </c>
      <c r="P135" s="103">
        <v>97084572.992423773</v>
      </c>
      <c r="Q135" s="103">
        <v>755436.58436674008</v>
      </c>
      <c r="R135" s="103">
        <v>0</v>
      </c>
      <c r="S135" s="103">
        <v>6976948.7457882473</v>
      </c>
      <c r="T135" s="1"/>
      <c r="U135" s="1"/>
      <c r="V135" s="103">
        <v>199695.26460262496</v>
      </c>
      <c r="Z135" s="47"/>
    </row>
    <row r="136" spans="1:26" s="44" customFormat="1" ht="15.75" x14ac:dyDescent="0.25">
      <c r="A136" s="104">
        <v>49096</v>
      </c>
      <c r="B136" s="105">
        <v>0</v>
      </c>
      <c r="C136" s="105">
        <v>0</v>
      </c>
      <c r="D136" s="105">
        <v>0</v>
      </c>
      <c r="E136" s="105">
        <v>0</v>
      </c>
      <c r="F136" s="106">
        <v>746581459.37058115</v>
      </c>
      <c r="G136" s="105">
        <v>4695929.1593369637</v>
      </c>
      <c r="H136" s="105">
        <v>1525583.0020845444</v>
      </c>
      <c r="I136" s="105">
        <v>617756966.53489101</v>
      </c>
      <c r="J136" s="107">
        <v>128824492.83569014</v>
      </c>
      <c r="K136" s="107">
        <v>0</v>
      </c>
      <c r="L136" s="107">
        <v>6221512.1614215076</v>
      </c>
      <c r="M136" s="105">
        <v>-1748867.068575586</v>
      </c>
      <c r="N136" s="105">
        <v>37961432.004687794</v>
      </c>
      <c r="O136" s="105">
        <v>36212564.93611221</v>
      </c>
      <c r="P136" s="108">
        <v>92611927.899577931</v>
      </c>
      <c r="Q136" s="108">
        <v>720633.94139391894</v>
      </c>
      <c r="R136" s="108">
        <v>0</v>
      </c>
      <c r="S136" s="108">
        <v>6942146.1028154269</v>
      </c>
      <c r="T136" s="1"/>
      <c r="U136" s="1"/>
      <c r="V136" s="103">
        <v>190495.38847648512</v>
      </c>
      <c r="Z136" s="47"/>
    </row>
    <row r="137" spans="1:26" s="44" customFormat="1" ht="15.75" x14ac:dyDescent="0.25">
      <c r="A137" s="5">
        <v>49126</v>
      </c>
      <c r="B137" s="100">
        <v>0</v>
      </c>
      <c r="C137" s="100">
        <v>0</v>
      </c>
      <c r="D137" s="100">
        <v>0</v>
      </c>
      <c r="E137" s="100">
        <v>0</v>
      </c>
      <c r="F137" s="99">
        <v>746581459.37058115</v>
      </c>
      <c r="G137" s="100">
        <v>4695929.1593369637</v>
      </c>
      <c r="H137" s="100">
        <v>1525583.0020845444</v>
      </c>
      <c r="I137" s="100">
        <v>623978478.69631243</v>
      </c>
      <c r="J137" s="8">
        <v>122602980.67426872</v>
      </c>
      <c r="K137" s="8">
        <v>0</v>
      </c>
      <c r="L137" s="8">
        <v>6221512.1614215076</v>
      </c>
      <c r="M137" s="100">
        <v>-1748867.068575586</v>
      </c>
      <c r="N137" s="100">
        <v>36212564.93611221</v>
      </c>
      <c r="O137" s="100">
        <v>34463697.867536627</v>
      </c>
      <c r="P137" s="103">
        <v>88139282.806732088</v>
      </c>
      <c r="Q137" s="103">
        <v>685831.29842109769</v>
      </c>
      <c r="R137" s="103">
        <v>0</v>
      </c>
      <c r="S137" s="103">
        <v>6907343.4598426055</v>
      </c>
      <c r="T137" s="1"/>
      <c r="U137" s="1"/>
      <c r="V137" s="103">
        <v>181295.51235034523</v>
      </c>
      <c r="Z137" s="47"/>
    </row>
    <row r="138" spans="1:26" s="44" customFormat="1" ht="15.75" x14ac:dyDescent="0.25">
      <c r="A138" s="5">
        <v>49157</v>
      </c>
      <c r="B138" s="100">
        <v>0</v>
      </c>
      <c r="C138" s="100">
        <v>0</v>
      </c>
      <c r="D138" s="100">
        <v>0</v>
      </c>
      <c r="E138" s="100">
        <v>0</v>
      </c>
      <c r="F138" s="99">
        <v>746581459.37058115</v>
      </c>
      <c r="G138" s="100">
        <v>4695929.1593369637</v>
      </c>
      <c r="H138" s="100">
        <v>1525583.0020845444</v>
      </c>
      <c r="I138" s="100">
        <v>630199990.85773385</v>
      </c>
      <c r="J138" s="8">
        <v>116381468.5128473</v>
      </c>
      <c r="K138" s="8">
        <v>0</v>
      </c>
      <c r="L138" s="8">
        <v>6221512.1614215076</v>
      </c>
      <c r="M138" s="100">
        <v>-1748867.068575586</v>
      </c>
      <c r="N138" s="100">
        <v>34463697.867536627</v>
      </c>
      <c r="O138" s="100">
        <v>32714830.79896104</v>
      </c>
      <c r="P138" s="103">
        <v>83666637.713886261</v>
      </c>
      <c r="Q138" s="103">
        <v>651028.65544827667</v>
      </c>
      <c r="R138" s="103">
        <v>0</v>
      </c>
      <c r="S138" s="103">
        <v>6872540.8168697841</v>
      </c>
      <c r="T138" s="1"/>
      <c r="U138" s="1"/>
      <c r="V138" s="103">
        <v>172095.6362242054</v>
      </c>
      <c r="Z138" s="47"/>
    </row>
    <row r="139" spans="1:26" s="44" customFormat="1" ht="15.75" x14ac:dyDescent="0.25">
      <c r="A139" s="104">
        <v>49188</v>
      </c>
      <c r="B139" s="105">
        <v>0</v>
      </c>
      <c r="C139" s="105">
        <v>0</v>
      </c>
      <c r="D139" s="105">
        <v>0</v>
      </c>
      <c r="E139" s="105">
        <v>0</v>
      </c>
      <c r="F139" s="106">
        <v>746581459.37058115</v>
      </c>
      <c r="G139" s="105">
        <v>4695929.1593369637</v>
      </c>
      <c r="H139" s="105">
        <v>1525583.0020845444</v>
      </c>
      <c r="I139" s="105">
        <v>636421503.01915526</v>
      </c>
      <c r="J139" s="107">
        <v>110159956.35142589</v>
      </c>
      <c r="K139" s="107">
        <v>0</v>
      </c>
      <c r="L139" s="107">
        <v>6221512.1614215076</v>
      </c>
      <c r="M139" s="105">
        <v>-1748867.068575586</v>
      </c>
      <c r="N139" s="105">
        <v>32714830.79896104</v>
      </c>
      <c r="O139" s="105">
        <v>30965963.730385453</v>
      </c>
      <c r="P139" s="108">
        <v>79193992.621040434</v>
      </c>
      <c r="Q139" s="108">
        <v>616226.01247545553</v>
      </c>
      <c r="R139" s="108">
        <v>0</v>
      </c>
      <c r="S139" s="108">
        <v>6837738.1738969628</v>
      </c>
      <c r="T139" s="1"/>
      <c r="U139" s="1"/>
      <c r="V139" s="103">
        <v>162895.76009806557</v>
      </c>
      <c r="Z139" s="47"/>
    </row>
    <row r="140" spans="1:26" s="44" customFormat="1" ht="15.75" x14ac:dyDescent="0.25">
      <c r="A140" s="5">
        <v>49218</v>
      </c>
      <c r="B140" s="100">
        <v>0</v>
      </c>
      <c r="C140" s="100">
        <v>0</v>
      </c>
      <c r="D140" s="100">
        <v>0</v>
      </c>
      <c r="E140" s="100">
        <v>0</v>
      </c>
      <c r="F140" s="99">
        <v>746581459.37058115</v>
      </c>
      <c r="G140" s="100">
        <v>4695929.1593369637</v>
      </c>
      <c r="H140" s="100">
        <v>1525583.0020845444</v>
      </c>
      <c r="I140" s="100">
        <v>642643015.18057668</v>
      </c>
      <c r="J140" s="8">
        <v>103938444.19000447</v>
      </c>
      <c r="K140" s="8">
        <v>0</v>
      </c>
      <c r="L140" s="8">
        <v>6221512.1614215076</v>
      </c>
      <c r="M140" s="100">
        <v>-1748867.068575586</v>
      </c>
      <c r="N140" s="100">
        <v>30965963.730385453</v>
      </c>
      <c r="O140" s="100">
        <v>29217096.661809865</v>
      </c>
      <c r="P140" s="103">
        <v>74721347.528194606</v>
      </c>
      <c r="Q140" s="103">
        <v>581423.36950263439</v>
      </c>
      <c r="R140" s="103">
        <v>0</v>
      </c>
      <c r="S140" s="103">
        <v>6802935.5309241423</v>
      </c>
      <c r="T140" s="1"/>
      <c r="U140" s="1"/>
      <c r="V140" s="103">
        <v>153695.88397192574</v>
      </c>
      <c r="Z140" s="47"/>
    </row>
    <row r="141" spans="1:26" s="44" customFormat="1" ht="15.75" x14ac:dyDescent="0.25">
      <c r="A141" s="5">
        <v>49249</v>
      </c>
      <c r="B141" s="100">
        <v>0</v>
      </c>
      <c r="C141" s="100">
        <v>0</v>
      </c>
      <c r="D141" s="100">
        <v>0</v>
      </c>
      <c r="E141" s="100">
        <v>0</v>
      </c>
      <c r="F141" s="99">
        <v>746581459.37058115</v>
      </c>
      <c r="G141" s="100">
        <v>4695929.1593369637</v>
      </c>
      <c r="H141" s="100">
        <v>1525583.0020845444</v>
      </c>
      <c r="I141" s="100">
        <v>648864527.3419981</v>
      </c>
      <c r="J141" s="8">
        <v>97716932.02858305</v>
      </c>
      <c r="K141" s="8">
        <v>0</v>
      </c>
      <c r="L141" s="8">
        <v>6221512.1614215076</v>
      </c>
      <c r="M141" s="100">
        <v>-1748867.068575586</v>
      </c>
      <c r="N141" s="100">
        <v>29217096.661809865</v>
      </c>
      <c r="O141" s="100">
        <v>27468229.593234278</v>
      </c>
      <c r="P141" s="103">
        <v>70248702.435348779</v>
      </c>
      <c r="Q141" s="103">
        <v>546620.72652981337</v>
      </c>
      <c r="R141" s="103">
        <v>0</v>
      </c>
      <c r="S141" s="103">
        <v>6768132.887951321</v>
      </c>
      <c r="T141" s="1"/>
      <c r="U141" s="1"/>
      <c r="V141" s="103">
        <v>144496.00784578591</v>
      </c>
      <c r="Z141" s="47"/>
    </row>
    <row r="142" spans="1:26" s="44" customFormat="1" ht="15.75" x14ac:dyDescent="0.25">
      <c r="A142" s="104">
        <v>49279</v>
      </c>
      <c r="B142" s="105">
        <v>0</v>
      </c>
      <c r="C142" s="105">
        <v>0</v>
      </c>
      <c r="D142" s="105">
        <v>0</v>
      </c>
      <c r="E142" s="105">
        <v>0</v>
      </c>
      <c r="F142" s="106">
        <v>746581459.37058115</v>
      </c>
      <c r="G142" s="105">
        <v>4695929.1593369637</v>
      </c>
      <c r="H142" s="105">
        <v>1525583.0020845444</v>
      </c>
      <c r="I142" s="105">
        <v>655086039.50341952</v>
      </c>
      <c r="J142" s="107">
        <v>91495419.867161632</v>
      </c>
      <c r="K142" s="107">
        <v>0</v>
      </c>
      <c r="L142" s="107">
        <v>6221512.1614215076</v>
      </c>
      <c r="M142" s="105">
        <v>-1748867.068575586</v>
      </c>
      <c r="N142" s="105">
        <v>27468229.593234278</v>
      </c>
      <c r="O142" s="105">
        <v>25719362.524658691</v>
      </c>
      <c r="P142" s="108">
        <v>65776057.342502937</v>
      </c>
      <c r="Q142" s="108">
        <v>511818.08355699218</v>
      </c>
      <c r="R142" s="108">
        <v>0</v>
      </c>
      <c r="S142" s="108">
        <v>6733330.2449784996</v>
      </c>
      <c r="T142" s="1"/>
      <c r="U142" s="1"/>
      <c r="V142" s="103">
        <v>135296.13171964601</v>
      </c>
      <c r="Z142" s="47"/>
    </row>
    <row r="143" spans="1:26" s="44" customFormat="1" ht="15.75" x14ac:dyDescent="0.25">
      <c r="A143" s="5">
        <v>49310</v>
      </c>
      <c r="B143" s="100">
        <v>0</v>
      </c>
      <c r="C143" s="100">
        <v>0</v>
      </c>
      <c r="D143" s="100">
        <v>0</v>
      </c>
      <c r="E143" s="100">
        <v>0</v>
      </c>
      <c r="F143" s="99">
        <v>746581459.37058115</v>
      </c>
      <c r="G143" s="100">
        <v>4551177.7037678566</v>
      </c>
      <c r="H143" s="100">
        <v>1473814.0472089646</v>
      </c>
      <c r="I143" s="100">
        <v>661111031.25439632</v>
      </c>
      <c r="J143" s="8">
        <v>85470428.116184831</v>
      </c>
      <c r="K143" s="8">
        <v>0</v>
      </c>
      <c r="L143" s="8">
        <v>6024991.7509768214</v>
      </c>
      <c r="M143" s="100">
        <v>-1693625.1811995846</v>
      </c>
      <c r="N143" s="100">
        <v>25719362.524658691</v>
      </c>
      <c r="O143" s="100">
        <v>24025737.343459107</v>
      </c>
      <c r="P143" s="103">
        <v>61444690.772725724</v>
      </c>
      <c r="Q143" s="103">
        <v>478114.7600910886</v>
      </c>
      <c r="R143" s="103">
        <v>0</v>
      </c>
      <c r="S143" s="103">
        <v>6503106.5110679101</v>
      </c>
      <c r="T143" s="1"/>
      <c r="U143" s="1"/>
      <c r="V143" s="103">
        <v>126386.85430736217</v>
      </c>
      <c r="Z143" s="47"/>
    </row>
    <row r="144" spans="1:26" s="44" customFormat="1" ht="15.75" x14ac:dyDescent="0.25">
      <c r="A144" s="5">
        <v>49341</v>
      </c>
      <c r="B144" s="100">
        <v>0</v>
      </c>
      <c r="C144" s="100">
        <v>0</v>
      </c>
      <c r="D144" s="100">
        <v>0</v>
      </c>
      <c r="E144" s="100">
        <v>0</v>
      </c>
      <c r="F144" s="99">
        <v>746581459.37058115</v>
      </c>
      <c r="G144" s="100">
        <v>4406426.2481987495</v>
      </c>
      <c r="H144" s="100">
        <v>1422045.0923333843</v>
      </c>
      <c r="I144" s="100">
        <v>666939502.5949285</v>
      </c>
      <c r="J144" s="8">
        <v>79641956.775652647</v>
      </c>
      <c r="K144" s="8">
        <v>0</v>
      </c>
      <c r="L144" s="8">
        <v>5828471.3405321334</v>
      </c>
      <c r="M144" s="100">
        <v>-1638383.2938235828</v>
      </c>
      <c r="N144" s="100">
        <v>24025737.343459107</v>
      </c>
      <c r="O144" s="100">
        <v>22387354.049635526</v>
      </c>
      <c r="P144" s="103">
        <v>57254602.726017118</v>
      </c>
      <c r="Q144" s="103">
        <v>445510.75613210257</v>
      </c>
      <c r="R144" s="103">
        <v>0</v>
      </c>
      <c r="S144" s="103">
        <v>6273982.0966642359</v>
      </c>
      <c r="T144" s="1"/>
      <c r="U144" s="1"/>
      <c r="V144" s="103">
        <v>117768.17560893427</v>
      </c>
      <c r="Z144" s="47"/>
    </row>
    <row r="145" spans="1:26" s="44" customFormat="1" ht="15.75" x14ac:dyDescent="0.25">
      <c r="A145" s="104">
        <v>49369</v>
      </c>
      <c r="B145" s="105">
        <v>0</v>
      </c>
      <c r="C145" s="105">
        <v>0</v>
      </c>
      <c r="D145" s="105">
        <v>0</v>
      </c>
      <c r="E145" s="105">
        <v>0</v>
      </c>
      <c r="F145" s="106">
        <v>746581459.37058115</v>
      </c>
      <c r="G145" s="105">
        <v>4261674.7926296433</v>
      </c>
      <c r="H145" s="105">
        <v>1370276.1374578043</v>
      </c>
      <c r="I145" s="105">
        <v>672571453.52501595</v>
      </c>
      <c r="J145" s="107">
        <v>74010005.8455652</v>
      </c>
      <c r="K145" s="107">
        <v>0</v>
      </c>
      <c r="L145" s="107">
        <v>5631950.9300874472</v>
      </c>
      <c r="M145" s="105">
        <v>-1583141.4064475815</v>
      </c>
      <c r="N145" s="105">
        <v>22387354.049635526</v>
      </c>
      <c r="O145" s="105">
        <v>20804212.643187944</v>
      </c>
      <c r="P145" s="108">
        <v>53205793.20237726</v>
      </c>
      <c r="Q145" s="108">
        <v>414006.07168003509</v>
      </c>
      <c r="R145" s="108">
        <v>0</v>
      </c>
      <c r="S145" s="108">
        <v>6045957.0017674826</v>
      </c>
      <c r="T145" s="1"/>
      <c r="U145" s="1"/>
      <c r="V145" s="103">
        <v>109440.09562436263</v>
      </c>
      <c r="Z145" s="47"/>
    </row>
    <row r="146" spans="1:26" s="44" customFormat="1" ht="15.75" x14ac:dyDescent="0.25">
      <c r="A146" s="5">
        <v>49400</v>
      </c>
      <c r="B146" s="100">
        <v>0</v>
      </c>
      <c r="C146" s="100">
        <v>0</v>
      </c>
      <c r="D146" s="100">
        <v>0</v>
      </c>
      <c r="E146" s="100">
        <v>0</v>
      </c>
      <c r="F146" s="99">
        <v>746581459.37058115</v>
      </c>
      <c r="G146" s="100">
        <v>4116923.3370605358</v>
      </c>
      <c r="H146" s="100">
        <v>1318507.182582224</v>
      </c>
      <c r="I146" s="100">
        <v>678006884.04465878</v>
      </c>
      <c r="J146" s="8">
        <v>68574575.32592237</v>
      </c>
      <c r="K146" s="8">
        <v>0</v>
      </c>
      <c r="L146" s="8">
        <v>5435430.51964276</v>
      </c>
      <c r="M146" s="100">
        <v>-1527899.5190715799</v>
      </c>
      <c r="N146" s="100">
        <v>20804212.643187944</v>
      </c>
      <c r="O146" s="100">
        <v>19276313.124116365</v>
      </c>
      <c r="P146" s="103">
        <v>49298262.201806009</v>
      </c>
      <c r="Q146" s="103">
        <v>383600.70673488511</v>
      </c>
      <c r="R146" s="103">
        <v>0</v>
      </c>
      <c r="S146" s="103">
        <v>5819031.2263776455</v>
      </c>
      <c r="T146" s="1"/>
      <c r="U146" s="1"/>
      <c r="V146" s="103">
        <v>101402.61435364695</v>
      </c>
      <c r="Z146" s="47"/>
    </row>
    <row r="147" spans="1:26" s="44" customFormat="1" ht="15.75" x14ac:dyDescent="0.25">
      <c r="A147" s="5">
        <v>49430</v>
      </c>
      <c r="B147" s="100">
        <v>0</v>
      </c>
      <c r="C147" s="100">
        <v>0</v>
      </c>
      <c r="D147" s="100">
        <v>0</v>
      </c>
      <c r="E147" s="100">
        <v>0</v>
      </c>
      <c r="F147" s="99">
        <v>746581459.37058115</v>
      </c>
      <c r="G147" s="100">
        <v>3972171.8814914292</v>
      </c>
      <c r="H147" s="100">
        <v>1266738.227706644</v>
      </c>
      <c r="I147" s="100">
        <v>683245794.15385687</v>
      </c>
      <c r="J147" s="8">
        <v>63335665.216724277</v>
      </c>
      <c r="K147" s="8">
        <v>0</v>
      </c>
      <c r="L147" s="8">
        <v>5238910.1091980729</v>
      </c>
      <c r="M147" s="100">
        <v>-1472657.6316955783</v>
      </c>
      <c r="N147" s="100">
        <v>19276313.124116365</v>
      </c>
      <c r="O147" s="100">
        <v>17803655.492420785</v>
      </c>
      <c r="P147" s="103">
        <v>45532009.724303491</v>
      </c>
      <c r="Q147" s="103">
        <v>354294.66129665362</v>
      </c>
      <c r="R147" s="103">
        <v>0</v>
      </c>
      <c r="S147" s="103">
        <v>5593204.7704947265</v>
      </c>
      <c r="T147" s="1"/>
      <c r="U147" s="1"/>
      <c r="V147" s="103">
        <v>93655.731796787484</v>
      </c>
      <c r="Z147" s="47"/>
    </row>
    <row r="148" spans="1:26" s="44" customFormat="1" ht="15.75" x14ac:dyDescent="0.25">
      <c r="A148" s="104">
        <v>49461</v>
      </c>
      <c r="B148" s="109">
        <v>0</v>
      </c>
      <c r="C148" s="109">
        <v>0</v>
      </c>
      <c r="D148" s="109">
        <v>0</v>
      </c>
      <c r="E148" s="109">
        <v>0</v>
      </c>
      <c r="F148" s="106">
        <v>746581459.37058115</v>
      </c>
      <c r="G148" s="105">
        <v>3827420.4259223221</v>
      </c>
      <c r="H148" s="105">
        <v>1214969.2728310635</v>
      </c>
      <c r="I148" s="109">
        <v>688288183.85261023</v>
      </c>
      <c r="J148" s="107">
        <v>58293275.51797092</v>
      </c>
      <c r="K148" s="107">
        <v>0</v>
      </c>
      <c r="L148" s="107">
        <v>5042389.6987533858</v>
      </c>
      <c r="M148" s="109">
        <v>-1417415.7443195768</v>
      </c>
      <c r="N148" s="109">
        <v>17803655.492420785</v>
      </c>
      <c r="O148" s="109">
        <v>16386239.748101208</v>
      </c>
      <c r="P148" s="110">
        <v>41907035.769869715</v>
      </c>
      <c r="Q148" s="110">
        <v>326087.93536534061</v>
      </c>
      <c r="R148" s="108">
        <v>0</v>
      </c>
      <c r="S148" s="110">
        <v>5368477.6341187265</v>
      </c>
      <c r="T148" s="1"/>
      <c r="U148" s="1"/>
      <c r="V148" s="111">
        <v>86199.447953784256</v>
      </c>
      <c r="Z148" s="47"/>
    </row>
    <row r="149" spans="1:26" s="44" customFormat="1" ht="18" x14ac:dyDescent="0.4">
      <c r="A149" s="5">
        <v>49491</v>
      </c>
      <c r="B149" s="38">
        <v>0</v>
      </c>
      <c r="C149" s="112"/>
      <c r="D149" s="112"/>
      <c r="E149" s="112"/>
      <c r="F149" s="99">
        <v>746581459.37058115</v>
      </c>
      <c r="G149" s="100">
        <v>3669391.9693010575</v>
      </c>
      <c r="H149" s="100">
        <v>1165021.7279925095</v>
      </c>
      <c r="I149" s="38">
        <v>693122597.54990387</v>
      </c>
      <c r="J149" s="8">
        <v>53458861.82067728</v>
      </c>
      <c r="K149" s="8">
        <v>0</v>
      </c>
      <c r="L149" s="8">
        <v>4834413.6972935665</v>
      </c>
      <c r="M149" s="38">
        <v>-1358953.6903092216</v>
      </c>
      <c r="N149" s="38">
        <v>16386239.748101208</v>
      </c>
      <c r="O149" s="38">
        <v>15027286.057791987</v>
      </c>
      <c r="P149" s="113">
        <v>38431575.762885295</v>
      </c>
      <c r="Q149" s="113">
        <v>299044.61060369801</v>
      </c>
      <c r="R149" s="103">
        <v>0</v>
      </c>
      <c r="S149" s="113">
        <v>5133458.3078972641</v>
      </c>
      <c r="T149" s="1"/>
      <c r="U149" s="1"/>
      <c r="V149" s="111">
        <v>79050.702439244531</v>
      </c>
      <c r="Z149" s="47"/>
    </row>
    <row r="150" spans="1:26" s="44" customFormat="1" ht="18" x14ac:dyDescent="0.4">
      <c r="A150" s="5">
        <v>49522</v>
      </c>
      <c r="B150" s="38">
        <v>0</v>
      </c>
      <c r="C150" s="112"/>
      <c r="D150" s="112"/>
      <c r="E150" s="112"/>
      <c r="F150" s="99">
        <v>746581459.37058115</v>
      </c>
      <c r="G150" s="100">
        <v>3511363.5126797939</v>
      </c>
      <c r="H150" s="100">
        <v>1115074.1831539557</v>
      </c>
      <c r="I150" s="38">
        <v>697749035.24573767</v>
      </c>
      <c r="J150" s="8">
        <v>48832424.124843478</v>
      </c>
      <c r="K150" s="8">
        <v>0</v>
      </c>
      <c r="L150" s="8">
        <v>4626437.6958337501</v>
      </c>
      <c r="M150" s="38">
        <v>-1300491.6362988672</v>
      </c>
      <c r="N150" s="38">
        <v>15027286.057791987</v>
      </c>
      <c r="O150" s="38">
        <v>13726794.42149312</v>
      </c>
      <c r="P150" s="113">
        <v>35105629.703350358</v>
      </c>
      <c r="Q150" s="113">
        <v>273164.68701172667</v>
      </c>
      <c r="R150" s="103">
        <v>0</v>
      </c>
      <c r="S150" s="113">
        <v>4899602.3828454763</v>
      </c>
      <c r="T150" s="1"/>
      <c r="U150" s="1"/>
      <c r="V150" s="111">
        <v>72209.495253168556</v>
      </c>
      <c r="Z150" s="47"/>
    </row>
    <row r="151" spans="1:26" s="44" customFormat="1" ht="18" x14ac:dyDescent="0.4">
      <c r="A151" s="104">
        <v>49553</v>
      </c>
      <c r="B151" s="109">
        <v>0</v>
      </c>
      <c r="C151" s="114"/>
      <c r="D151" s="114"/>
      <c r="E151" s="114"/>
      <c r="F151" s="106">
        <v>746581459.37058115</v>
      </c>
      <c r="G151" s="105">
        <v>3353335.0560585288</v>
      </c>
      <c r="H151" s="105">
        <v>1065126.6383154015</v>
      </c>
      <c r="I151" s="109">
        <v>702167496.94011164</v>
      </c>
      <c r="J151" s="107">
        <v>44413962.430469513</v>
      </c>
      <c r="K151" s="107">
        <v>0</v>
      </c>
      <c r="L151" s="107">
        <v>4418461.6943739299</v>
      </c>
      <c r="M151" s="109">
        <v>-1242029.5822885118</v>
      </c>
      <c r="N151" s="109">
        <v>13726794.42149312</v>
      </c>
      <c r="O151" s="109">
        <v>12484764.839204609</v>
      </c>
      <c r="P151" s="110">
        <v>31929197.591264904</v>
      </c>
      <c r="Q151" s="110">
        <v>248448.16458942663</v>
      </c>
      <c r="R151" s="108">
        <v>0</v>
      </c>
      <c r="S151" s="110">
        <v>4666909.8589633564</v>
      </c>
      <c r="T151" s="1"/>
      <c r="U151" s="1"/>
      <c r="V151" s="111">
        <v>65675.826395556331</v>
      </c>
      <c r="Z151" s="47"/>
    </row>
    <row r="152" spans="1:26" s="44" customFormat="1" ht="18" x14ac:dyDescent="0.4">
      <c r="A152" s="5">
        <v>49583</v>
      </c>
      <c r="B152" s="38">
        <v>0</v>
      </c>
      <c r="C152" s="112"/>
      <c r="D152" s="112"/>
      <c r="E152" s="112"/>
      <c r="F152" s="99">
        <v>746581459.37058115</v>
      </c>
      <c r="G152" s="100">
        <v>3195306.5994372647</v>
      </c>
      <c r="H152" s="100">
        <v>1015179.0934768475</v>
      </c>
      <c r="I152" s="38">
        <v>706377982.63302577</v>
      </c>
      <c r="J152" s="8">
        <v>40203476.737555385</v>
      </c>
      <c r="K152" s="8">
        <v>0</v>
      </c>
      <c r="L152" s="8">
        <v>4210485.6929141125</v>
      </c>
      <c r="M152" s="38">
        <v>-1183567.5282781571</v>
      </c>
      <c r="N152" s="38">
        <v>12484764.839204609</v>
      </c>
      <c r="O152" s="38">
        <v>11301197.310926452</v>
      </c>
      <c r="P152" s="113">
        <v>28902279.426628932</v>
      </c>
      <c r="Q152" s="113">
        <v>224895.04333679791</v>
      </c>
      <c r="R152" s="103">
        <v>0</v>
      </c>
      <c r="S152" s="113">
        <v>4435380.73625091</v>
      </c>
      <c r="T152" s="1"/>
      <c r="U152" s="1"/>
      <c r="V152" s="111">
        <v>59449.695866407863</v>
      </c>
      <c r="Z152" s="47"/>
    </row>
    <row r="153" spans="1:26" s="44" customFormat="1" ht="18" x14ac:dyDescent="0.4">
      <c r="A153" s="5">
        <v>49614</v>
      </c>
      <c r="B153" s="38">
        <v>0</v>
      </c>
      <c r="C153" s="112"/>
      <c r="D153" s="112"/>
      <c r="E153" s="112"/>
      <c r="F153" s="99">
        <v>746581459.37058115</v>
      </c>
      <c r="G153" s="100">
        <v>3037278.1428160002</v>
      </c>
      <c r="H153" s="100">
        <v>965231.54863829352</v>
      </c>
      <c r="I153" s="38">
        <v>710380492.32448006</v>
      </c>
      <c r="J153" s="8">
        <v>36200967.046101093</v>
      </c>
      <c r="K153" s="8">
        <v>0</v>
      </c>
      <c r="L153" s="8">
        <v>4002509.6914542937</v>
      </c>
      <c r="M153" s="38">
        <v>-1125105.474267802</v>
      </c>
      <c r="N153" s="38">
        <v>11301197.310926452</v>
      </c>
      <c r="O153" s="38">
        <v>10176091.836658651</v>
      </c>
      <c r="P153" s="113">
        <v>26024875.209442444</v>
      </c>
      <c r="Q153" s="113">
        <v>202505.3232538405</v>
      </c>
      <c r="R153" s="103">
        <v>0</v>
      </c>
      <c r="S153" s="113">
        <v>4205015.0147081343</v>
      </c>
      <c r="T153" s="1"/>
      <c r="U153" s="1"/>
      <c r="V153" s="111">
        <v>53531.103665723153</v>
      </c>
      <c r="Z153" s="47"/>
    </row>
    <row r="154" spans="1:26" s="44" customFormat="1" ht="18" x14ac:dyDescent="0.4">
      <c r="A154" s="104">
        <v>49644</v>
      </c>
      <c r="B154" s="109">
        <v>0</v>
      </c>
      <c r="C154" s="114"/>
      <c r="D154" s="114"/>
      <c r="E154" s="114"/>
      <c r="F154" s="106">
        <v>746581459.37058115</v>
      </c>
      <c r="G154" s="105">
        <v>2879249.6861947356</v>
      </c>
      <c r="H154" s="105">
        <v>915284.00379973953</v>
      </c>
      <c r="I154" s="109">
        <v>714175026.01447463</v>
      </c>
      <c r="J154" s="107">
        <v>32406433.35610652</v>
      </c>
      <c r="K154" s="107">
        <v>0</v>
      </c>
      <c r="L154" s="107">
        <v>3794533.6899944749</v>
      </c>
      <c r="M154" s="109">
        <v>-1066643.4202574471</v>
      </c>
      <c r="N154" s="109">
        <v>10176091.836658651</v>
      </c>
      <c r="O154" s="109">
        <v>9109448.4164012037</v>
      </c>
      <c r="P154" s="110">
        <v>23296984.939705316</v>
      </c>
      <c r="Q154" s="110">
        <v>181279.00434055345</v>
      </c>
      <c r="R154" s="108">
        <v>0</v>
      </c>
      <c r="S154" s="110">
        <v>3975812.6943350285</v>
      </c>
      <c r="T154" s="1"/>
      <c r="U154" s="1"/>
      <c r="V154" s="111">
        <v>47920.049793501945</v>
      </c>
      <c r="Z154" s="47"/>
    </row>
    <row r="155" spans="1:26" s="44" customFormat="1" ht="18" x14ac:dyDescent="0.4">
      <c r="A155" s="5">
        <v>49675</v>
      </c>
      <c r="B155" s="38"/>
      <c r="C155" s="112"/>
      <c r="D155" s="112"/>
      <c r="E155" s="112"/>
      <c r="F155" s="99">
        <v>746581459.37058115</v>
      </c>
      <c r="G155" s="100">
        <v>2721221.2295734715</v>
      </c>
      <c r="H155" s="100">
        <v>865336.45896118542</v>
      </c>
      <c r="I155" s="38">
        <v>717761583.70300925</v>
      </c>
      <c r="J155" s="8">
        <v>28819875.667571902</v>
      </c>
      <c r="K155" s="8">
        <v>0</v>
      </c>
      <c r="L155" s="8">
        <v>3586557.688534657</v>
      </c>
      <c r="M155" s="38">
        <v>-1008181.3662470921</v>
      </c>
      <c r="N155" s="38">
        <v>9109448.4164012037</v>
      </c>
      <c r="O155" s="38">
        <v>8101267.0501541113</v>
      </c>
      <c r="P155" s="113">
        <v>20718608.61741779</v>
      </c>
      <c r="Q155" s="113">
        <v>161216.08659693867</v>
      </c>
      <c r="R155" s="103">
        <v>0</v>
      </c>
      <c r="S155" s="113">
        <v>3747773.7751315958</v>
      </c>
      <c r="T155" s="1"/>
      <c r="U155" s="1"/>
      <c r="V155" s="111">
        <v>42616.534249744742</v>
      </c>
      <c r="Z155" s="47"/>
    </row>
    <row r="156" spans="1:26" s="44" customFormat="1" ht="18" x14ac:dyDescent="0.4">
      <c r="A156" s="5">
        <v>49706</v>
      </c>
      <c r="B156" s="38"/>
      <c r="C156" s="112"/>
      <c r="D156" s="112"/>
      <c r="E156" s="112"/>
      <c r="F156" s="99">
        <v>746581459.37058115</v>
      </c>
      <c r="G156" s="100">
        <v>2563192.7729522069</v>
      </c>
      <c r="H156" s="100">
        <v>815388.91412263154</v>
      </c>
      <c r="I156" s="38">
        <v>721140165.39008403</v>
      </c>
      <c r="J156" s="8">
        <v>25441293.980497122</v>
      </c>
      <c r="K156" s="8">
        <v>0</v>
      </c>
      <c r="L156" s="8">
        <v>3378581.6870748382</v>
      </c>
      <c r="M156" s="38">
        <v>-949719.31223673711</v>
      </c>
      <c r="N156" s="38">
        <v>8101267.0501541113</v>
      </c>
      <c r="O156" s="38">
        <v>7151547.7379173739</v>
      </c>
      <c r="P156" s="113">
        <v>18289746.242579747</v>
      </c>
      <c r="Q156" s="113">
        <v>142316.57002299518</v>
      </c>
      <c r="R156" s="103">
        <v>0</v>
      </c>
      <c r="S156" s="113">
        <v>3520898.2570978333</v>
      </c>
      <c r="T156" s="1"/>
      <c r="U156" s="1"/>
      <c r="V156" s="111">
        <v>37620.557034451289</v>
      </c>
      <c r="Z156" s="47"/>
    </row>
    <row r="157" spans="1:26" s="44" customFormat="1" ht="18" x14ac:dyDescent="0.4">
      <c r="A157" s="104">
        <v>49735</v>
      </c>
      <c r="B157" s="109"/>
      <c r="C157" s="114"/>
      <c r="D157" s="114"/>
      <c r="E157" s="114"/>
      <c r="F157" s="106">
        <v>746581459.37058115</v>
      </c>
      <c r="G157" s="105">
        <v>2405164.3163309423</v>
      </c>
      <c r="H157" s="105">
        <v>765441.36928407743</v>
      </c>
      <c r="I157" s="109">
        <v>724310771.07569897</v>
      </c>
      <c r="J157" s="107">
        <v>22270688.294882178</v>
      </c>
      <c r="K157" s="107">
        <v>0</v>
      </c>
      <c r="L157" s="107">
        <v>3170605.6856150199</v>
      </c>
      <c r="M157" s="109">
        <v>-891257.25822638208</v>
      </c>
      <c r="N157" s="109">
        <v>7151547.7379173739</v>
      </c>
      <c r="O157" s="109">
        <v>6260290.4796909913</v>
      </c>
      <c r="P157" s="110">
        <v>16010397.815191187</v>
      </c>
      <c r="Q157" s="110">
        <v>124580.45461872299</v>
      </c>
      <c r="R157" s="108">
        <v>0</v>
      </c>
      <c r="S157" s="110">
        <v>3295186.140233743</v>
      </c>
      <c r="T157" s="1"/>
      <c r="U157" s="1"/>
      <c r="V157" s="111">
        <v>32932.118147621601</v>
      </c>
      <c r="Z157" s="47"/>
    </row>
    <row r="158" spans="1:26" s="44" customFormat="1" ht="18" x14ac:dyDescent="0.4">
      <c r="A158" s="5">
        <v>49766</v>
      </c>
      <c r="B158" s="38"/>
      <c r="C158" s="112"/>
      <c r="D158" s="112"/>
      <c r="E158" s="112"/>
      <c r="F158" s="99">
        <v>746581459.37058115</v>
      </c>
      <c r="G158" s="100">
        <v>2247135.8597096782</v>
      </c>
      <c r="H158" s="100">
        <v>715493.82444552355</v>
      </c>
      <c r="I158" s="38">
        <v>727273400.75985408</v>
      </c>
      <c r="J158" s="8">
        <v>19308058.610727072</v>
      </c>
      <c r="K158" s="8">
        <v>0</v>
      </c>
      <c r="L158" s="8">
        <v>2962629.6841552015</v>
      </c>
      <c r="M158" s="38">
        <v>-832795.20421602717</v>
      </c>
      <c r="N158" s="38">
        <v>6260290.4796909913</v>
      </c>
      <c r="O158" s="38">
        <v>5427495.2754749637</v>
      </c>
      <c r="P158" s="113">
        <v>13880563.335252108</v>
      </c>
      <c r="Q158" s="113">
        <v>108007.74038412209</v>
      </c>
      <c r="R158" s="103">
        <v>0</v>
      </c>
      <c r="S158" s="113">
        <v>3070637.4245393234</v>
      </c>
      <c r="T158" s="1"/>
      <c r="U158" s="1"/>
      <c r="V158" s="111">
        <v>28551.217589255655</v>
      </c>
      <c r="Z158" s="47"/>
    </row>
    <row r="159" spans="1:26" s="44" customFormat="1" ht="18" x14ac:dyDescent="0.4">
      <c r="A159" s="5">
        <v>49796</v>
      </c>
      <c r="B159" s="38"/>
      <c r="C159" s="112"/>
      <c r="D159" s="112"/>
      <c r="E159" s="112"/>
      <c r="F159" s="99">
        <v>746581459.37058115</v>
      </c>
      <c r="G159" s="100">
        <v>2089107.4030884136</v>
      </c>
      <c r="H159" s="100">
        <v>665546.27960696956</v>
      </c>
      <c r="I159" s="38">
        <v>730028054.44254947</v>
      </c>
      <c r="J159" s="8">
        <v>16553404.928031683</v>
      </c>
      <c r="K159" s="8">
        <v>0</v>
      </c>
      <c r="L159" s="8">
        <v>2754653.6826953832</v>
      </c>
      <c r="M159" s="38">
        <v>-774333.15020567225</v>
      </c>
      <c r="N159" s="38">
        <v>5427495.2754749637</v>
      </c>
      <c r="O159" s="38">
        <v>4653162.1252692919</v>
      </c>
      <c r="P159" s="113">
        <v>11900242.802762391</v>
      </c>
      <c r="Q159" s="113">
        <v>92598.427319191585</v>
      </c>
      <c r="R159" s="103">
        <v>0</v>
      </c>
      <c r="S159" s="113">
        <v>2847252.1100145746</v>
      </c>
      <c r="T159" s="1"/>
      <c r="U159" s="1"/>
      <c r="V159" s="111">
        <v>24477.855359353216</v>
      </c>
      <c r="Z159" s="47"/>
    </row>
    <row r="160" spans="1:26" s="44" customFormat="1" ht="18" x14ac:dyDescent="0.4">
      <c r="A160" s="104">
        <v>49827</v>
      </c>
      <c r="B160" s="109"/>
      <c r="C160" s="114"/>
      <c r="D160" s="114"/>
      <c r="E160" s="114"/>
      <c r="F160" s="106">
        <v>746581459.37058115</v>
      </c>
      <c r="G160" s="105">
        <v>1931078.9464671493</v>
      </c>
      <c r="H160" s="105">
        <v>615598.73476841557</v>
      </c>
      <c r="I160" s="109">
        <v>732574732.12378502</v>
      </c>
      <c r="J160" s="107">
        <v>14006727.246796131</v>
      </c>
      <c r="K160" s="107">
        <v>0</v>
      </c>
      <c r="L160" s="107">
        <v>2546677.6812355649</v>
      </c>
      <c r="M160" s="109">
        <v>-715871.09619531734</v>
      </c>
      <c r="N160" s="109">
        <v>4653162.1252692919</v>
      </c>
      <c r="O160" s="109">
        <v>3937291.0290739746</v>
      </c>
      <c r="P160" s="110">
        <v>10069436.217722157</v>
      </c>
      <c r="Q160" s="110">
        <v>78352.515423932375</v>
      </c>
      <c r="R160" s="108">
        <v>0</v>
      </c>
      <c r="S160" s="110">
        <v>2625030.1966594975</v>
      </c>
      <c r="T160" s="1"/>
      <c r="U160" s="1"/>
      <c r="V160" s="111">
        <v>20712.031457914538</v>
      </c>
      <c r="Z160" s="47"/>
    </row>
    <row r="161" spans="1:26" s="44" customFormat="1" ht="18" x14ac:dyDescent="0.4">
      <c r="A161" s="5">
        <v>49857</v>
      </c>
      <c r="B161" s="38"/>
      <c r="C161" s="112"/>
      <c r="D161" s="112"/>
      <c r="E161" s="112"/>
      <c r="F161" s="99">
        <v>746581459.37058115</v>
      </c>
      <c r="G161" s="100">
        <v>1770155.7009282201</v>
      </c>
      <c r="H161" s="100">
        <v>564298.8402043808</v>
      </c>
      <c r="I161" s="38">
        <v>734909186.66491759</v>
      </c>
      <c r="J161" s="8">
        <v>11672272.705663562</v>
      </c>
      <c r="K161" s="8">
        <v>0</v>
      </c>
      <c r="L161" s="8">
        <v>2334454.541132601</v>
      </c>
      <c r="M161" s="38">
        <v>-656215.17151237419</v>
      </c>
      <c r="N161" s="38">
        <v>3937291.0290739746</v>
      </c>
      <c r="O161" s="38">
        <v>3281075.8575616004</v>
      </c>
      <c r="P161" s="113">
        <v>8391196.8481019624</v>
      </c>
      <c r="Q161" s="113">
        <v>65293.762853278269</v>
      </c>
      <c r="R161" s="103">
        <v>0</v>
      </c>
      <c r="S161" s="113">
        <v>2399748.3039858793</v>
      </c>
      <c r="T161" s="1"/>
      <c r="U161" s="1"/>
      <c r="V161" s="111">
        <v>17260.026214929119</v>
      </c>
      <c r="Z161" s="47"/>
    </row>
    <row r="162" spans="1:26" s="44" customFormat="1" ht="18" x14ac:dyDescent="0.4">
      <c r="A162" s="5">
        <v>49888</v>
      </c>
      <c r="B162" s="38"/>
      <c r="C162" s="112"/>
      <c r="D162" s="112"/>
      <c r="E162" s="112"/>
      <c r="F162" s="99">
        <v>746581459.37058115</v>
      </c>
      <c r="G162" s="100">
        <v>1609232.455389291</v>
      </c>
      <c r="H162" s="100">
        <v>512998.94564034615</v>
      </c>
      <c r="I162" s="38">
        <v>737031418.06594718</v>
      </c>
      <c r="J162" s="8">
        <v>9550041.304633975</v>
      </c>
      <c r="K162" s="8">
        <v>0</v>
      </c>
      <c r="L162" s="8">
        <v>2122231.4010296371</v>
      </c>
      <c r="M162" s="38">
        <v>-596559.24682943104</v>
      </c>
      <c r="N162" s="38">
        <v>3281075.8575616004</v>
      </c>
      <c r="O162" s="38">
        <v>2684516.6107321694</v>
      </c>
      <c r="P162" s="113">
        <v>6865524.6939018052</v>
      </c>
      <c r="Q162" s="113">
        <v>53422.169607229225</v>
      </c>
      <c r="R162" s="103">
        <v>0</v>
      </c>
      <c r="S162" s="113">
        <v>2175653.5706368661</v>
      </c>
      <c r="T162" s="1"/>
      <c r="U162" s="1"/>
      <c r="V162" s="111">
        <v>14121.839630396964</v>
      </c>
      <c r="Z162" s="47"/>
    </row>
    <row r="163" spans="1:26" s="44" customFormat="1" ht="18" x14ac:dyDescent="0.4">
      <c r="A163" s="104">
        <v>49919</v>
      </c>
      <c r="B163" s="109"/>
      <c r="C163" s="114"/>
      <c r="D163" s="114"/>
      <c r="E163" s="114"/>
      <c r="F163" s="106">
        <v>746581459.37058115</v>
      </c>
      <c r="G163" s="105">
        <v>1448309.209850362</v>
      </c>
      <c r="H163" s="105">
        <v>461699.0510763115</v>
      </c>
      <c r="I163" s="109">
        <v>738941426.32687378</v>
      </c>
      <c r="J163" s="107">
        <v>7640033.0437073708</v>
      </c>
      <c r="K163" s="107">
        <v>0</v>
      </c>
      <c r="L163" s="107">
        <v>1910008.2609266737</v>
      </c>
      <c r="M163" s="109">
        <v>-536903.322146488</v>
      </c>
      <c r="N163" s="109">
        <v>2684516.6107321694</v>
      </c>
      <c r="O163" s="109">
        <v>2147613.2885856815</v>
      </c>
      <c r="P163" s="110">
        <v>5492419.7551216893</v>
      </c>
      <c r="Q163" s="110">
        <v>42737.735685785286</v>
      </c>
      <c r="R163" s="108">
        <v>0</v>
      </c>
      <c r="S163" s="110">
        <v>1952745.996612459</v>
      </c>
      <c r="T163" s="1"/>
      <c r="U163" s="1"/>
      <c r="V163" s="111">
        <v>11297.471704318074</v>
      </c>
      <c r="Z163" s="47"/>
    </row>
    <row r="164" spans="1:26" s="44" customFormat="1" ht="18" x14ac:dyDescent="0.4">
      <c r="A164" s="5">
        <v>49949</v>
      </c>
      <c r="B164" s="38"/>
      <c r="C164" s="112"/>
      <c r="D164" s="112"/>
      <c r="E164" s="112"/>
      <c r="F164" s="99">
        <v>746581459.37058115</v>
      </c>
      <c r="G164" s="100">
        <v>1287385.9643114328</v>
      </c>
      <c r="H164" s="100">
        <v>410399.15651227697</v>
      </c>
      <c r="I164" s="38">
        <v>740639211.44769752</v>
      </c>
      <c r="J164" s="8">
        <v>5942247.9228836298</v>
      </c>
      <c r="K164" s="8">
        <v>0</v>
      </c>
      <c r="L164" s="8">
        <v>1697785.1208237098</v>
      </c>
      <c r="M164" s="38">
        <v>-477247.39746354485</v>
      </c>
      <c r="N164" s="38">
        <v>2147613.2885856815</v>
      </c>
      <c r="O164" s="38">
        <v>1670365.8911221367</v>
      </c>
      <c r="P164" s="113">
        <v>4271882.0317614935</v>
      </c>
      <c r="Q164" s="113">
        <v>33240.461088945514</v>
      </c>
      <c r="R164" s="103">
        <v>0</v>
      </c>
      <c r="S164" s="113">
        <v>1731025.5819126554</v>
      </c>
      <c r="T164" s="1"/>
      <c r="U164" s="1"/>
      <c r="V164" s="111">
        <v>8786.9224366922044</v>
      </c>
      <c r="Z164" s="47"/>
    </row>
    <row r="165" spans="1:26" s="44" customFormat="1" ht="18" x14ac:dyDescent="0.4">
      <c r="A165" s="5">
        <v>49980</v>
      </c>
      <c r="B165" s="38"/>
      <c r="C165" s="112"/>
      <c r="D165" s="112"/>
      <c r="E165" s="112"/>
      <c r="F165" s="99">
        <v>746581459.37058115</v>
      </c>
      <c r="G165" s="100">
        <v>1126462.7187725038</v>
      </c>
      <c r="H165" s="100">
        <v>359099.26194824238</v>
      </c>
      <c r="I165" s="38">
        <v>742124773.42841828</v>
      </c>
      <c r="J165" s="8">
        <v>4456685.9421628714</v>
      </c>
      <c r="K165" s="8">
        <v>0</v>
      </c>
      <c r="L165" s="8">
        <v>1485561.9807207461</v>
      </c>
      <c r="M165" s="38">
        <v>-417591.47278060176</v>
      </c>
      <c r="N165" s="38">
        <v>1670365.8911221367</v>
      </c>
      <c r="O165" s="38">
        <v>1252774.4183415349</v>
      </c>
      <c r="P165" s="113">
        <v>3203911.5238213362</v>
      </c>
      <c r="Q165" s="113">
        <v>24930.345816710815</v>
      </c>
      <c r="R165" s="103">
        <v>0</v>
      </c>
      <c r="S165" s="113">
        <v>1510492.3265374568</v>
      </c>
      <c r="T165" s="1"/>
      <c r="U165" s="1"/>
      <c r="V165" s="111">
        <v>6590.1918275195994</v>
      </c>
      <c r="Z165" s="47"/>
    </row>
    <row r="166" spans="1:26" s="44" customFormat="1" ht="18" x14ac:dyDescent="0.4">
      <c r="A166" s="104">
        <v>50010</v>
      </c>
      <c r="B166" s="109"/>
      <c r="C166" s="114"/>
      <c r="D166" s="114"/>
      <c r="E166" s="114"/>
      <c r="F166" s="106">
        <v>746581459.37058115</v>
      </c>
      <c r="G166" s="105">
        <v>965539.47323357465</v>
      </c>
      <c r="H166" s="105">
        <v>307799.36738420778</v>
      </c>
      <c r="I166" s="109">
        <v>743398112.26903605</v>
      </c>
      <c r="J166" s="107">
        <v>3183347.1015450954</v>
      </c>
      <c r="K166" s="107">
        <v>0</v>
      </c>
      <c r="L166" s="107">
        <v>1273338.8406177824</v>
      </c>
      <c r="M166" s="109">
        <v>-357935.54809765867</v>
      </c>
      <c r="N166" s="109">
        <v>1252774.4183415349</v>
      </c>
      <c r="O166" s="109">
        <v>894838.87024387624</v>
      </c>
      <c r="P166" s="110">
        <v>2288508.2313012192</v>
      </c>
      <c r="Q166" s="110">
        <v>17807.389869081213</v>
      </c>
      <c r="R166" s="108">
        <v>0</v>
      </c>
      <c r="S166" s="110">
        <v>1291146.2304868638</v>
      </c>
      <c r="T166" s="1"/>
      <c r="U166" s="1"/>
      <c r="V166" s="111">
        <v>4707.2798768002576</v>
      </c>
      <c r="Z166" s="47"/>
    </row>
    <row r="167" spans="1:26" s="44" customFormat="1" ht="18" x14ac:dyDescent="0.4">
      <c r="A167" s="5">
        <v>50041</v>
      </c>
      <c r="B167" s="38"/>
      <c r="C167" s="112"/>
      <c r="D167" s="112"/>
      <c r="E167" s="112"/>
      <c r="F167" s="99">
        <v>746581459.37058115</v>
      </c>
      <c r="G167" s="100">
        <v>804616.22769464552</v>
      </c>
      <c r="H167" s="100">
        <v>256499.47282017316</v>
      </c>
      <c r="I167" s="38">
        <v>744459227.96955085</v>
      </c>
      <c r="J167" s="8">
        <v>2122231.401030302</v>
      </c>
      <c r="K167" s="8">
        <v>0</v>
      </c>
      <c r="L167" s="8">
        <v>1061115.7005148188</v>
      </c>
      <c r="M167" s="38">
        <v>-298279.62341471558</v>
      </c>
      <c r="N167" s="38">
        <v>894838.87024387624</v>
      </c>
      <c r="O167" s="38">
        <v>596559.24682916072</v>
      </c>
      <c r="P167" s="113">
        <v>1525672.1542011413</v>
      </c>
      <c r="Q167" s="113">
        <v>11871.593246056698</v>
      </c>
      <c r="R167" s="103">
        <v>0</v>
      </c>
      <c r="S167" s="113">
        <v>1072987.2937608755</v>
      </c>
      <c r="T167" s="1"/>
      <c r="U167" s="1"/>
      <c r="V167" s="111">
        <v>3138.1865845341813</v>
      </c>
      <c r="Z167" s="47"/>
    </row>
    <row r="168" spans="1:26" s="44" customFormat="1" ht="18" x14ac:dyDescent="0.4">
      <c r="A168" s="5">
        <v>50072</v>
      </c>
      <c r="B168" s="38"/>
      <c r="C168" s="112"/>
      <c r="D168" s="112"/>
      <c r="E168" s="112"/>
      <c r="F168" s="99">
        <v>746581459.37058115</v>
      </c>
      <c r="G168" s="100">
        <v>643692.9821557164</v>
      </c>
      <c r="H168" s="100">
        <v>205199.57825613851</v>
      </c>
      <c r="I168" s="38">
        <v>745308120.52996266</v>
      </c>
      <c r="J168" s="8">
        <v>1273338.8406184912</v>
      </c>
      <c r="K168" s="8">
        <v>0</v>
      </c>
      <c r="L168" s="8">
        <v>848892.56041185488</v>
      </c>
      <c r="M168" s="38">
        <v>-238623.69873177243</v>
      </c>
      <c r="N168" s="38">
        <v>596559.24682916072</v>
      </c>
      <c r="O168" s="38">
        <v>357935.54809738829</v>
      </c>
      <c r="P168" s="113">
        <v>915403.29252110282</v>
      </c>
      <c r="Q168" s="113">
        <v>7122.9559476372715</v>
      </c>
      <c r="R168" s="103">
        <v>0</v>
      </c>
      <c r="S168" s="113">
        <v>856015.51635949221</v>
      </c>
      <c r="T168" s="1"/>
      <c r="U168" s="1"/>
      <c r="V168" s="111">
        <v>1882.9119507213684</v>
      </c>
      <c r="Z168" s="47"/>
    </row>
    <row r="169" spans="1:26" s="44" customFormat="1" ht="18" x14ac:dyDescent="0.4">
      <c r="A169" s="104">
        <v>50100</v>
      </c>
      <c r="B169" s="109"/>
      <c r="C169" s="114"/>
      <c r="D169" s="114"/>
      <c r="E169" s="114"/>
      <c r="F169" s="106">
        <v>746581459.37058115</v>
      </c>
      <c r="G169" s="105">
        <v>482769.73661678733</v>
      </c>
      <c r="H169" s="105">
        <v>153899.68369210389</v>
      </c>
      <c r="I169" s="109">
        <v>745944789.95027149</v>
      </c>
      <c r="J169" s="107">
        <v>636669.42030966282</v>
      </c>
      <c r="K169" s="107">
        <v>0</v>
      </c>
      <c r="L169" s="107">
        <v>636669.42030889122</v>
      </c>
      <c r="M169" s="109">
        <v>-178967.77404882933</v>
      </c>
      <c r="N169" s="109">
        <v>357935.54809738829</v>
      </c>
      <c r="O169" s="109">
        <v>178967.77404855896</v>
      </c>
      <c r="P169" s="110">
        <v>457701.64626110386</v>
      </c>
      <c r="Q169" s="110">
        <v>3561.4779738229345</v>
      </c>
      <c r="R169" s="108">
        <v>0</v>
      </c>
      <c r="S169" s="110">
        <v>640230.89828271419</v>
      </c>
      <c r="T169" s="1"/>
      <c r="U169" s="1"/>
      <c r="V169" s="111">
        <v>941.45597536182049</v>
      </c>
      <c r="Z169" s="47"/>
    </row>
    <row r="170" spans="1:26" s="44" customFormat="1" ht="18" x14ac:dyDescent="0.4">
      <c r="A170" s="5">
        <v>50131</v>
      </c>
      <c r="B170" s="38"/>
      <c r="C170" s="112"/>
      <c r="D170" s="112"/>
      <c r="E170" s="112"/>
      <c r="F170" s="99">
        <v>746581459.37058115</v>
      </c>
      <c r="G170" s="100">
        <v>321846.4910778582</v>
      </c>
      <c r="H170" s="100">
        <v>102599.78912806926</v>
      </c>
      <c r="I170" s="38">
        <v>746369236.23047745</v>
      </c>
      <c r="J170" s="8">
        <v>212223.14010369778</v>
      </c>
      <c r="K170" s="8">
        <v>0</v>
      </c>
      <c r="L170" s="8">
        <v>424446.28020592744</v>
      </c>
      <c r="M170" s="38">
        <v>-119311.84936588621</v>
      </c>
      <c r="N170" s="38">
        <v>178967.77404855896</v>
      </c>
      <c r="O170" s="38">
        <v>59655.924682672747</v>
      </c>
      <c r="P170" s="113">
        <v>152567.21542102503</v>
      </c>
      <c r="Q170" s="113">
        <v>1187.1593246127577</v>
      </c>
      <c r="R170" s="103">
        <v>0</v>
      </c>
      <c r="S170" s="113">
        <v>425633.4395305402</v>
      </c>
      <c r="T170" s="1"/>
      <c r="U170" s="1"/>
      <c r="V170" s="111">
        <v>313.81865845529177</v>
      </c>
      <c r="Z170" s="47"/>
    </row>
    <row r="171" spans="1:26" s="44" customFormat="1" ht="18" x14ac:dyDescent="0.4">
      <c r="A171" s="5">
        <v>50161</v>
      </c>
      <c r="B171" s="38"/>
      <c r="C171" s="112"/>
      <c r="D171" s="112"/>
      <c r="E171" s="112"/>
      <c r="F171" s="99">
        <v>746581459.37058115</v>
      </c>
      <c r="G171" s="100">
        <v>160923.2455389291</v>
      </c>
      <c r="H171" s="100">
        <v>51299.894564034628</v>
      </c>
      <c r="I171" s="38">
        <v>746581459.37058043</v>
      </c>
      <c r="J171" s="8">
        <v>7.152557373046875E-7</v>
      </c>
      <c r="K171" s="8">
        <v>0</v>
      </c>
      <c r="L171" s="8">
        <v>212223.14010296372</v>
      </c>
      <c r="M171" s="38">
        <v>-59655.924682943107</v>
      </c>
      <c r="N171" s="38">
        <v>59655.924682672747</v>
      </c>
      <c r="O171" s="38">
        <v>-2.7036003302782774E-7</v>
      </c>
      <c r="P171" s="113">
        <v>9.8561577033251524E-7</v>
      </c>
      <c r="Q171" s="113">
        <v>7.6692948023378858E-9</v>
      </c>
      <c r="R171" s="103">
        <v>0</v>
      </c>
      <c r="S171" s="113">
        <v>212223.1401029714</v>
      </c>
      <c r="T171" s="1"/>
      <c r="U171" s="1"/>
      <c r="V171" s="111">
        <v>2.0273334473895377E-9</v>
      </c>
      <c r="Z171" s="47"/>
    </row>
    <row r="172" spans="1:26" s="44" customFormat="1" ht="18" x14ac:dyDescent="0.4">
      <c r="A172" s="5"/>
      <c r="B172" s="112"/>
      <c r="C172" s="112"/>
      <c r="D172" s="112"/>
      <c r="E172" s="112"/>
      <c r="F172" s="112"/>
      <c r="G172" s="112"/>
      <c r="H172" s="112"/>
      <c r="I172" s="100"/>
      <c r="J172" s="100"/>
      <c r="K172" s="112"/>
      <c r="L172" s="112"/>
      <c r="M172" s="112"/>
      <c r="N172" s="100"/>
      <c r="O172" s="100"/>
      <c r="P172" s="103"/>
      <c r="Q172" s="115"/>
      <c r="R172" s="115"/>
      <c r="S172" s="115"/>
      <c r="T172" s="1"/>
      <c r="U172" s="1"/>
      <c r="V172" s="115"/>
    </row>
    <row r="173" spans="1:26" s="44" customFormat="1" ht="15.75" x14ac:dyDescent="0.25">
      <c r="A173" s="72" t="s">
        <v>15</v>
      </c>
      <c r="B173" s="99">
        <v>563511499.12043571</v>
      </c>
      <c r="C173" s="99">
        <v>183069960.25014535</v>
      </c>
      <c r="D173" s="99">
        <v>746581459.37058115</v>
      </c>
      <c r="E173" s="99">
        <v>5388984579.2242088</v>
      </c>
      <c r="F173" s="99"/>
      <c r="G173" s="99">
        <v>563511499.12043631</v>
      </c>
      <c r="H173" s="99">
        <v>183069960.25014526</v>
      </c>
      <c r="I173" s="13"/>
      <c r="J173" s="99"/>
      <c r="K173" s="99">
        <v>6135566038.5947876</v>
      </c>
      <c r="L173" s="99">
        <v>6135566038.594799</v>
      </c>
      <c r="M173" s="99">
        <v>-2.7036003302782774E-7</v>
      </c>
      <c r="N173" s="99"/>
      <c r="O173" s="99"/>
      <c r="P173" s="99"/>
      <c r="Q173" s="99">
        <v>290423754.47834718</v>
      </c>
      <c r="R173" s="99">
        <v>40884282.888415247</v>
      </c>
      <c r="S173" s="99">
        <v>1077889496.7373433</v>
      </c>
      <c r="T173" s="1"/>
      <c r="U173" s="1"/>
      <c r="V173" s="99">
        <v>76771829.293994114</v>
      </c>
    </row>
    <row r="174" spans="1:26" s="44" customFormat="1" ht="15.75" x14ac:dyDescent="0.25">
      <c r="A174"/>
      <c r="B174"/>
      <c r="C174"/>
      <c r="D174"/>
      <c r="E174"/>
      <c r="F174"/>
      <c r="G174"/>
      <c r="H174"/>
      <c r="I174"/>
      <c r="J174" s="2"/>
      <c r="K174" s="8"/>
      <c r="L174"/>
      <c r="M174"/>
      <c r="N174"/>
      <c r="O174" s="1"/>
      <c r="P174" s="1"/>
      <c r="Q174" s="1"/>
      <c r="R174" s="1"/>
      <c r="S174" s="1"/>
      <c r="T174" s="1"/>
      <c r="U174" s="2"/>
      <c r="V174" s="2"/>
    </row>
    <row r="175" spans="1:26" s="44" customFormat="1" ht="15.75" x14ac:dyDescent="0.25">
      <c r="A175"/>
      <c r="B175"/>
      <c r="C175"/>
      <c r="D175"/>
      <c r="E175"/>
      <c r="F175"/>
      <c r="G175"/>
      <c r="H175"/>
      <c r="I175"/>
      <c r="J175" s="2"/>
      <c r="K175" s="8"/>
      <c r="L175"/>
      <c r="M175"/>
      <c r="N175"/>
      <c r="O175" s="1"/>
      <c r="P175" s="1"/>
      <c r="Q175" s="1"/>
      <c r="R175" s="1"/>
      <c r="S175" s="1"/>
      <c r="T175" s="1"/>
      <c r="U175" s="2"/>
      <c r="V175" s="2"/>
    </row>
    <row r="176" spans="1:26" s="44" customFormat="1" ht="15.75" x14ac:dyDescent="0.25">
      <c r="A176"/>
      <c r="B176"/>
      <c r="C176"/>
      <c r="D176">
        <v>2024</v>
      </c>
      <c r="E176" s="8">
        <v>0</v>
      </c>
      <c r="F176" s="116"/>
      <c r="G176" s="8">
        <v>0</v>
      </c>
      <c r="H176"/>
      <c r="I176"/>
      <c r="J176" s="2"/>
      <c r="K176" s="8"/>
      <c r="L176"/>
      <c r="M176"/>
      <c r="N176"/>
      <c r="O176" s="1"/>
      <c r="P176" s="1"/>
      <c r="Q176" s="1"/>
      <c r="R176" s="1"/>
      <c r="S176" s="1"/>
      <c r="T176" s="1"/>
      <c r="U176" s="2"/>
      <c r="V176" s="2"/>
    </row>
    <row r="177" spans="1:22" s="44" customFormat="1" ht="15.75" x14ac:dyDescent="0.25">
      <c r="A177"/>
      <c r="B177"/>
      <c r="C177"/>
      <c r="D177">
        <v>2025</v>
      </c>
      <c r="E177" s="8">
        <v>201141472.45826381</v>
      </c>
      <c r="F177" s="116">
        <v>201141472.45826381</v>
      </c>
      <c r="G177" s="8">
        <v>0</v>
      </c>
      <c r="H177"/>
      <c r="I177"/>
      <c r="J177" s="2"/>
      <c r="K177" s="8"/>
      <c r="L177"/>
      <c r="M177"/>
      <c r="N177"/>
      <c r="O177" s="1"/>
      <c r="P177" s="1"/>
      <c r="Q177" s="1"/>
      <c r="R177" s="102"/>
      <c r="S177" s="1"/>
      <c r="T177" s="1"/>
      <c r="U177" s="2"/>
      <c r="V177" s="2"/>
    </row>
    <row r="178" spans="1:22" s="44" customFormat="1" ht="15.75" x14ac:dyDescent="0.25">
      <c r="A178"/>
      <c r="B178"/>
      <c r="C178"/>
      <c r="D178">
        <v>2026</v>
      </c>
      <c r="E178" s="13">
        <v>752515406.08811855</v>
      </c>
      <c r="F178" s="116">
        <v>752515406.08811855</v>
      </c>
      <c r="G178" s="8">
        <v>0</v>
      </c>
      <c r="H178"/>
      <c r="I178"/>
      <c r="J178" s="2"/>
      <c r="K178" s="8"/>
      <c r="L178"/>
      <c r="M178"/>
      <c r="N178"/>
      <c r="O178" s="1"/>
      <c r="P178" s="1"/>
      <c r="Q178" s="1"/>
      <c r="R178" s="1"/>
      <c r="S178" s="1"/>
      <c r="T178" s="1"/>
      <c r="U178" s="2"/>
      <c r="V178" s="2"/>
    </row>
    <row r="179" spans="1:22" s="44" customFormat="1" ht="15.75" x14ac:dyDescent="0.25">
      <c r="A179"/>
      <c r="B179"/>
      <c r="C179"/>
      <c r="D179">
        <v>2027</v>
      </c>
      <c r="E179" s="13">
        <v>1364365131.1498666</v>
      </c>
      <c r="F179" s="116">
        <v>1364365131.1498666</v>
      </c>
      <c r="G179" s="8">
        <v>0</v>
      </c>
      <c r="H179"/>
      <c r="I179"/>
      <c r="J179" s="2"/>
      <c r="K179" s="8"/>
      <c r="L179"/>
      <c r="M179"/>
      <c r="N179"/>
      <c r="O179" s="1"/>
      <c r="P179" s="1"/>
      <c r="Q179" s="1"/>
      <c r="R179" s="1"/>
      <c r="S179" s="1"/>
      <c r="T179" s="1"/>
      <c r="U179" s="2"/>
      <c r="V179" s="2"/>
    </row>
    <row r="180" spans="1:22" s="44" customFormat="1" ht="15.75" x14ac:dyDescent="0.25">
      <c r="A180"/>
      <c r="B180"/>
      <c r="C180"/>
      <c r="D180">
        <v>2028</v>
      </c>
      <c r="E180" s="13">
        <v>1366496006.9286261</v>
      </c>
      <c r="F180" s="116">
        <v>1366496006.9286261</v>
      </c>
      <c r="G180" s="8">
        <v>0</v>
      </c>
      <c r="H180"/>
      <c r="I180"/>
      <c r="J180" s="2"/>
      <c r="K180" s="8"/>
      <c r="L180"/>
      <c r="M180"/>
      <c r="N180"/>
      <c r="O180" s="1"/>
      <c r="P180" s="1"/>
      <c r="Q180" s="1"/>
      <c r="R180" s="1"/>
      <c r="S180" s="1"/>
      <c r="T180" s="1"/>
      <c r="U180" s="2"/>
      <c r="V180" s="2"/>
    </row>
    <row r="181" spans="1:22" s="44" customFormat="1" ht="15.75" x14ac:dyDescent="0.25">
      <c r="D181">
        <v>2029</v>
      </c>
      <c r="E181" s="45">
        <v>942444761.35032761</v>
      </c>
      <c r="F181" s="117">
        <v>942444761.35032761</v>
      </c>
      <c r="G181" s="8">
        <v>0</v>
      </c>
      <c r="J181" s="24"/>
      <c r="K181" s="47"/>
      <c r="O181" s="46"/>
      <c r="P181" s="46"/>
      <c r="Q181" s="46"/>
      <c r="R181" s="46"/>
      <c r="S181" s="46"/>
      <c r="T181" s="46"/>
      <c r="U181" s="24"/>
      <c r="V181" s="24"/>
    </row>
    <row r="182" spans="1:22" s="44" customFormat="1" ht="15.75" x14ac:dyDescent="0.25">
      <c r="D182">
        <v>2030</v>
      </c>
      <c r="E182" s="45">
        <v>531485564.27522945</v>
      </c>
      <c r="F182" s="117">
        <v>531485564.27522945</v>
      </c>
      <c r="G182" s="8">
        <v>0</v>
      </c>
      <c r="J182" s="24"/>
      <c r="K182" s="47"/>
      <c r="O182" s="46"/>
      <c r="P182" s="46"/>
      <c r="Q182" s="46"/>
      <c r="R182" s="46"/>
      <c r="S182" s="46"/>
      <c r="T182" s="46"/>
      <c r="U182" s="24"/>
      <c r="V182" s="24"/>
    </row>
    <row r="183" spans="1:22" s="44" customFormat="1" ht="15.75" x14ac:dyDescent="0.25">
      <c r="D183">
        <v>2031</v>
      </c>
      <c r="E183" s="45">
        <v>201829669.21397594</v>
      </c>
      <c r="F183" s="117">
        <v>201829669.21397594</v>
      </c>
      <c r="G183" s="8">
        <v>0</v>
      </c>
      <c r="J183" s="24"/>
      <c r="K183" s="47"/>
      <c r="O183" s="46"/>
      <c r="P183" s="46"/>
      <c r="Q183" s="46"/>
      <c r="R183" s="46"/>
      <c r="S183" s="46"/>
      <c r="T183" s="46"/>
      <c r="U183" s="24"/>
      <c r="V183" s="24"/>
    </row>
    <row r="184" spans="1:22" s="44" customFormat="1" ht="15.75" x14ac:dyDescent="0.25">
      <c r="D184">
        <v>2032</v>
      </c>
      <c r="E184" s="45">
        <v>28706567.759801544</v>
      </c>
      <c r="F184" s="117">
        <v>28706567.759801544</v>
      </c>
      <c r="G184" s="8">
        <v>0</v>
      </c>
      <c r="J184" s="24"/>
      <c r="K184" s="47"/>
      <c r="O184" s="46"/>
      <c r="P184" s="46"/>
      <c r="Q184" s="46"/>
      <c r="R184" s="46"/>
      <c r="S184" s="46"/>
      <c r="T184" s="46"/>
      <c r="U184" s="24"/>
      <c r="V184" s="24"/>
    </row>
    <row r="185" spans="1:22" s="44" customFormat="1" ht="15.75" x14ac:dyDescent="0.25">
      <c r="J185" s="24"/>
      <c r="K185" s="47"/>
      <c r="O185" s="46"/>
      <c r="P185" s="46"/>
      <c r="Q185" s="46"/>
      <c r="R185" s="46"/>
      <c r="S185" s="46"/>
      <c r="T185" s="46"/>
      <c r="U185" s="24"/>
      <c r="V185" s="24"/>
    </row>
    <row r="186" spans="1:22" s="44" customFormat="1" ht="15.75" x14ac:dyDescent="0.25">
      <c r="J186" s="24"/>
      <c r="K186" s="47"/>
      <c r="O186" s="46"/>
      <c r="P186" s="46"/>
      <c r="Q186" s="46"/>
      <c r="R186" s="46"/>
      <c r="S186" s="46"/>
      <c r="T186" s="46"/>
      <c r="U186" s="24"/>
      <c r="V186" s="24"/>
    </row>
    <row r="187" spans="1:22" s="44" customFormat="1" ht="15.75" x14ac:dyDescent="0.25">
      <c r="J187" s="24"/>
      <c r="K187" s="47"/>
      <c r="O187" s="46"/>
      <c r="P187" s="46"/>
      <c r="Q187" s="46"/>
      <c r="R187" s="46"/>
      <c r="S187" s="46"/>
      <c r="T187" s="46"/>
      <c r="U187" s="24"/>
      <c r="V187" s="24"/>
    </row>
    <row r="188" spans="1:22" s="44" customFormat="1" ht="15.75" x14ac:dyDescent="0.25">
      <c r="J188" s="24"/>
      <c r="K188" s="47"/>
      <c r="O188" s="46"/>
      <c r="P188" s="46"/>
      <c r="Q188" s="46"/>
      <c r="R188" s="46"/>
      <c r="S188" s="46"/>
      <c r="T188" s="46"/>
      <c r="U188" s="24"/>
      <c r="V188" s="24"/>
    </row>
    <row r="189" spans="1:22" s="44" customFormat="1" ht="15.75" x14ac:dyDescent="0.25">
      <c r="J189" s="24"/>
      <c r="K189" s="47"/>
      <c r="O189" s="46"/>
      <c r="P189" s="46"/>
      <c r="Q189" s="46"/>
      <c r="R189" s="46"/>
      <c r="S189" s="46"/>
      <c r="T189" s="46"/>
      <c r="U189" s="24"/>
      <c r="V189" s="24"/>
    </row>
    <row r="190" spans="1:22" s="44" customFormat="1" ht="15.75" x14ac:dyDescent="0.25">
      <c r="J190" s="24"/>
      <c r="K190" s="47"/>
      <c r="O190" s="46"/>
      <c r="P190" s="46"/>
      <c r="Q190" s="46"/>
      <c r="R190" s="46"/>
      <c r="S190" s="46"/>
      <c r="T190" s="46"/>
      <c r="U190" s="24"/>
      <c r="V190" s="24"/>
    </row>
    <row r="191" spans="1:22" s="44" customFormat="1" ht="15.75" x14ac:dyDescent="0.25">
      <c r="J191" s="24"/>
      <c r="K191" s="47"/>
      <c r="O191" s="46"/>
      <c r="P191" s="46"/>
      <c r="Q191" s="46"/>
      <c r="R191" s="46"/>
      <c r="S191" s="46"/>
      <c r="T191" s="46"/>
      <c r="U191" s="24"/>
      <c r="V191" s="24"/>
    </row>
    <row r="192" spans="1:22" s="44" customFormat="1" ht="15.75" x14ac:dyDescent="0.25">
      <c r="J192" s="24"/>
      <c r="K192" s="47"/>
      <c r="O192" s="46"/>
      <c r="P192" s="46"/>
      <c r="Q192" s="46"/>
      <c r="R192" s="46"/>
      <c r="S192" s="46"/>
      <c r="T192" s="46"/>
      <c r="U192" s="24"/>
      <c r="V192" s="24"/>
    </row>
    <row r="193" spans="10:22" s="44" customFormat="1" ht="15.75" x14ac:dyDescent="0.25">
      <c r="J193" s="24"/>
      <c r="K193" s="47"/>
      <c r="O193" s="46"/>
      <c r="P193" s="46"/>
      <c r="Q193" s="46"/>
      <c r="R193" s="46"/>
      <c r="S193" s="46"/>
      <c r="T193" s="46"/>
      <c r="U193" s="24"/>
      <c r="V193" s="24"/>
    </row>
    <row r="194" spans="10:22" s="44" customFormat="1" ht="15.75" x14ac:dyDescent="0.25">
      <c r="J194" s="24"/>
      <c r="K194" s="47"/>
      <c r="O194" s="46"/>
      <c r="P194" s="46"/>
      <c r="Q194" s="46"/>
      <c r="R194" s="46"/>
      <c r="S194" s="46"/>
      <c r="T194" s="46"/>
      <c r="U194" s="24"/>
      <c r="V194" s="24"/>
    </row>
    <row r="195" spans="10:22" s="44" customFormat="1" ht="15.75" x14ac:dyDescent="0.25">
      <c r="J195" s="24"/>
      <c r="K195" s="47"/>
      <c r="O195" s="46"/>
      <c r="P195" s="46"/>
      <c r="Q195" s="46"/>
      <c r="R195" s="46"/>
      <c r="S195" s="46"/>
      <c r="T195" s="46"/>
      <c r="U195" s="24"/>
      <c r="V195" s="24"/>
    </row>
    <row r="196" spans="10:22" s="44" customFormat="1" ht="15.75" x14ac:dyDescent="0.25">
      <c r="J196" s="24"/>
      <c r="K196" s="47"/>
      <c r="O196" s="46"/>
      <c r="P196" s="46"/>
      <c r="Q196" s="46"/>
      <c r="R196" s="46"/>
      <c r="S196" s="46"/>
      <c r="T196" s="46"/>
      <c r="U196" s="24"/>
      <c r="V196" s="24"/>
    </row>
    <row r="197" spans="10:22" s="44" customFormat="1" ht="15.75" x14ac:dyDescent="0.25">
      <c r="J197" s="24"/>
      <c r="K197" s="47"/>
      <c r="O197" s="46"/>
      <c r="P197" s="46"/>
      <c r="Q197" s="46"/>
      <c r="R197" s="46"/>
      <c r="S197" s="46"/>
      <c r="T197" s="46"/>
      <c r="U197" s="24"/>
      <c r="V197" s="24"/>
    </row>
    <row r="198" spans="10:22" s="44" customFormat="1" ht="15.75" x14ac:dyDescent="0.25">
      <c r="J198" s="24"/>
      <c r="K198" s="47"/>
      <c r="O198" s="46"/>
      <c r="P198" s="46"/>
      <c r="Q198" s="46"/>
      <c r="R198" s="46"/>
      <c r="S198" s="46"/>
      <c r="T198" s="46"/>
      <c r="U198" s="24"/>
      <c r="V198" s="24"/>
    </row>
    <row r="199" spans="10:22" s="44" customFormat="1" ht="15.75" x14ac:dyDescent="0.25">
      <c r="J199" s="24"/>
      <c r="K199" s="47"/>
      <c r="O199" s="46"/>
      <c r="P199" s="46"/>
      <c r="Q199" s="46"/>
      <c r="R199" s="46"/>
      <c r="S199" s="46"/>
      <c r="T199" s="46"/>
      <c r="U199" s="24"/>
      <c r="V199" s="24"/>
    </row>
    <row r="200" spans="10:22" s="44" customFormat="1" ht="15.75" x14ac:dyDescent="0.25">
      <c r="J200" s="24"/>
      <c r="K200" s="47"/>
      <c r="O200" s="46"/>
      <c r="P200" s="46"/>
      <c r="Q200" s="46"/>
      <c r="R200" s="46"/>
      <c r="S200" s="46"/>
      <c r="T200" s="46"/>
      <c r="U200" s="24"/>
      <c r="V200" s="24"/>
    </row>
    <row r="201" spans="10:22" s="44" customFormat="1" ht="15.75" x14ac:dyDescent="0.25">
      <c r="J201" s="24"/>
      <c r="K201" s="47"/>
      <c r="O201" s="46"/>
      <c r="P201" s="46"/>
      <c r="Q201" s="46"/>
      <c r="R201" s="46"/>
      <c r="S201" s="46"/>
      <c r="T201" s="46"/>
      <c r="U201" s="24"/>
      <c r="V201" s="24"/>
    </row>
    <row r="202" spans="10:22" s="44" customFormat="1" ht="15.75" x14ac:dyDescent="0.25">
      <c r="J202" s="24"/>
      <c r="K202" s="47"/>
      <c r="O202" s="46"/>
      <c r="P202" s="46"/>
      <c r="Q202" s="46"/>
      <c r="R202" s="46"/>
      <c r="S202" s="46"/>
      <c r="T202" s="46"/>
      <c r="U202" s="24"/>
      <c r="V202" s="24"/>
    </row>
    <row r="203" spans="10:22" s="44" customFormat="1" ht="15.75" x14ac:dyDescent="0.25">
      <c r="J203" s="24"/>
      <c r="K203" s="47"/>
      <c r="O203" s="46"/>
      <c r="P203" s="46"/>
      <c r="Q203" s="46"/>
      <c r="R203" s="46"/>
      <c r="S203" s="46"/>
      <c r="T203" s="46"/>
      <c r="U203" s="24"/>
      <c r="V203" s="24"/>
    </row>
    <row r="204" spans="10:22" s="44" customFormat="1" ht="15.75" x14ac:dyDescent="0.25">
      <c r="J204" s="24"/>
      <c r="K204" s="47"/>
      <c r="O204" s="46"/>
      <c r="P204" s="46"/>
      <c r="Q204" s="46"/>
      <c r="R204" s="46"/>
      <c r="S204" s="46"/>
      <c r="T204" s="46"/>
      <c r="U204" s="24"/>
      <c r="V204" s="24"/>
    </row>
    <row r="205" spans="10:22" s="44" customFormat="1" ht="15.75" x14ac:dyDescent="0.25">
      <c r="J205" s="24"/>
      <c r="K205" s="47"/>
      <c r="O205" s="46"/>
      <c r="P205" s="46"/>
      <c r="Q205" s="46"/>
      <c r="R205" s="46"/>
      <c r="S205" s="46"/>
      <c r="T205" s="46"/>
      <c r="U205" s="24"/>
      <c r="V205" s="24"/>
    </row>
    <row r="206" spans="10:22" s="44" customFormat="1" ht="15.75" x14ac:dyDescent="0.25">
      <c r="J206" s="24"/>
      <c r="K206" s="47"/>
      <c r="O206" s="46"/>
      <c r="P206" s="46"/>
      <c r="Q206" s="46"/>
      <c r="R206" s="46"/>
      <c r="S206" s="46"/>
      <c r="T206" s="46"/>
      <c r="U206" s="24"/>
      <c r="V206" s="24"/>
    </row>
    <row r="207" spans="10:22" s="44" customFormat="1" ht="15.75" x14ac:dyDescent="0.25">
      <c r="J207" s="24"/>
      <c r="K207" s="47"/>
      <c r="O207" s="46"/>
      <c r="P207" s="46"/>
      <c r="Q207" s="46"/>
      <c r="R207" s="46"/>
      <c r="S207" s="46"/>
      <c r="T207" s="46"/>
      <c r="U207" s="24"/>
      <c r="V207" s="24"/>
    </row>
    <row r="208" spans="10:22" s="44" customFormat="1" ht="15.75" x14ac:dyDescent="0.25">
      <c r="J208" s="24"/>
      <c r="K208" s="47"/>
      <c r="O208" s="46"/>
      <c r="P208" s="46"/>
      <c r="Q208" s="46"/>
      <c r="R208" s="46"/>
      <c r="S208" s="46"/>
      <c r="T208" s="46"/>
      <c r="U208" s="24"/>
      <c r="V208" s="24"/>
    </row>
    <row r="209" spans="10:22" s="44" customFormat="1" ht="15.75" x14ac:dyDescent="0.25">
      <c r="J209" s="24"/>
      <c r="K209" s="47"/>
      <c r="O209" s="46"/>
      <c r="P209" s="46"/>
      <c r="Q209" s="46"/>
      <c r="R209" s="46"/>
      <c r="S209" s="46"/>
      <c r="T209" s="46"/>
      <c r="U209" s="24"/>
      <c r="V209" s="24"/>
    </row>
    <row r="210" spans="10:22" s="44" customFormat="1" ht="15.75" x14ac:dyDescent="0.25">
      <c r="J210" s="24"/>
      <c r="K210" s="47"/>
      <c r="O210" s="46"/>
      <c r="P210" s="46"/>
      <c r="Q210" s="46"/>
      <c r="R210" s="46"/>
      <c r="S210" s="46"/>
      <c r="T210" s="46"/>
      <c r="U210" s="24"/>
      <c r="V210" s="24"/>
    </row>
    <row r="211" spans="10:22" s="44" customFormat="1" ht="15.75" x14ac:dyDescent="0.25">
      <c r="J211" s="24"/>
      <c r="K211" s="47"/>
      <c r="O211" s="46"/>
      <c r="P211" s="46"/>
      <c r="Q211" s="46"/>
      <c r="R211" s="46"/>
      <c r="S211" s="46"/>
      <c r="T211" s="46"/>
      <c r="U211" s="24"/>
      <c r="V211" s="24"/>
    </row>
    <row r="212" spans="10:22" s="44" customFormat="1" ht="15.75" x14ac:dyDescent="0.25">
      <c r="J212" s="24"/>
      <c r="K212" s="47"/>
      <c r="O212" s="46"/>
      <c r="P212" s="46"/>
      <c r="Q212" s="46"/>
      <c r="R212" s="46"/>
      <c r="S212" s="46"/>
      <c r="T212" s="46"/>
      <c r="U212" s="24"/>
      <c r="V212" s="24"/>
    </row>
    <row r="213" spans="10:22" s="44" customFormat="1" ht="15.75" x14ac:dyDescent="0.25">
      <c r="J213" s="24"/>
      <c r="K213" s="47"/>
      <c r="O213" s="46"/>
      <c r="P213" s="46"/>
      <c r="Q213" s="46"/>
      <c r="R213" s="46"/>
      <c r="S213" s="46"/>
      <c r="T213" s="46"/>
      <c r="U213" s="24"/>
      <c r="V213" s="24"/>
    </row>
    <row r="214" spans="10:22" s="44" customFormat="1" ht="15.75" x14ac:dyDescent="0.25">
      <c r="J214" s="24"/>
      <c r="K214" s="47"/>
      <c r="O214" s="46"/>
      <c r="P214" s="46"/>
      <c r="Q214" s="46"/>
      <c r="R214" s="46"/>
      <c r="S214" s="46"/>
      <c r="T214" s="46"/>
      <c r="U214" s="24"/>
      <c r="V214" s="24"/>
    </row>
    <row r="215" spans="10:22" s="44" customFormat="1" ht="15.75" x14ac:dyDescent="0.25">
      <c r="J215" s="24"/>
      <c r="K215" s="47"/>
      <c r="O215" s="46"/>
      <c r="P215" s="46"/>
      <c r="Q215" s="46"/>
      <c r="R215" s="46"/>
      <c r="S215" s="46"/>
      <c r="T215" s="46"/>
      <c r="U215" s="24"/>
      <c r="V215" s="24"/>
    </row>
    <row r="216" spans="10:22" s="44" customFormat="1" ht="15.75" x14ac:dyDescent="0.25">
      <c r="J216" s="24"/>
      <c r="K216" s="47"/>
      <c r="O216" s="46"/>
      <c r="P216" s="46"/>
      <c r="Q216" s="46"/>
      <c r="R216" s="46"/>
      <c r="S216" s="46"/>
      <c r="T216" s="46"/>
      <c r="U216" s="24"/>
      <c r="V216" s="24"/>
    </row>
    <row r="217" spans="10:22" s="44" customFormat="1" ht="15.75" x14ac:dyDescent="0.25">
      <c r="J217" s="24"/>
      <c r="K217" s="47"/>
      <c r="O217" s="46"/>
      <c r="P217" s="46"/>
      <c r="Q217" s="46"/>
      <c r="R217" s="46"/>
      <c r="S217" s="46"/>
      <c r="T217" s="46"/>
      <c r="U217" s="24"/>
      <c r="V217" s="24"/>
    </row>
    <row r="218" spans="10:22" s="44" customFormat="1" ht="15.75" x14ac:dyDescent="0.25">
      <c r="J218" s="24"/>
      <c r="K218" s="47"/>
      <c r="O218" s="46"/>
      <c r="P218" s="46"/>
      <c r="Q218" s="46"/>
      <c r="R218" s="46"/>
      <c r="S218" s="46"/>
      <c r="T218" s="46"/>
      <c r="U218" s="24"/>
      <c r="V218" s="24"/>
    </row>
    <row r="219" spans="10:22" s="44" customFormat="1" ht="15.75" x14ac:dyDescent="0.25">
      <c r="J219" s="24"/>
      <c r="K219" s="47"/>
      <c r="O219" s="46"/>
      <c r="P219" s="46"/>
      <c r="Q219" s="46"/>
      <c r="R219" s="46"/>
      <c r="S219" s="46"/>
      <c r="T219" s="46"/>
      <c r="U219" s="24"/>
      <c r="V219" s="24"/>
    </row>
    <row r="220" spans="10:22" s="44" customFormat="1" ht="15.75" x14ac:dyDescent="0.25">
      <c r="J220" s="24"/>
      <c r="K220" s="47"/>
      <c r="O220" s="46"/>
      <c r="P220" s="46"/>
      <c r="Q220" s="46"/>
      <c r="R220" s="46"/>
      <c r="S220" s="46"/>
      <c r="T220" s="46"/>
      <c r="U220" s="24"/>
      <c r="V220" s="24"/>
    </row>
    <row r="221" spans="10:22" s="44" customFormat="1" ht="15.75" x14ac:dyDescent="0.25">
      <c r="J221" s="24"/>
      <c r="K221" s="47"/>
      <c r="O221" s="46"/>
      <c r="P221" s="46"/>
      <c r="Q221" s="46"/>
      <c r="R221" s="46"/>
      <c r="S221" s="46"/>
      <c r="T221" s="46"/>
      <c r="U221" s="24"/>
      <c r="V221" s="24"/>
    </row>
    <row r="222" spans="10:22" s="44" customFormat="1" ht="15.75" x14ac:dyDescent="0.25">
      <c r="J222" s="24"/>
      <c r="K222" s="47"/>
      <c r="O222" s="46"/>
      <c r="P222" s="46"/>
      <c r="Q222" s="46"/>
      <c r="R222" s="46"/>
      <c r="S222" s="46"/>
      <c r="T222" s="46"/>
      <c r="U222" s="24"/>
      <c r="V222" s="24"/>
    </row>
    <row r="223" spans="10:22" s="44" customFormat="1" ht="15.75" x14ac:dyDescent="0.25">
      <c r="J223" s="24"/>
      <c r="K223" s="47"/>
      <c r="O223" s="46"/>
      <c r="P223" s="46"/>
      <c r="Q223" s="46"/>
      <c r="R223" s="46"/>
      <c r="S223" s="46"/>
      <c r="T223" s="46"/>
      <c r="U223" s="24"/>
      <c r="V223" s="24"/>
    </row>
    <row r="224" spans="10:22" s="44" customFormat="1" ht="15.75" x14ac:dyDescent="0.25">
      <c r="J224" s="24"/>
      <c r="K224" s="47"/>
      <c r="O224" s="46"/>
      <c r="P224" s="46"/>
      <c r="Q224" s="46"/>
      <c r="R224" s="46"/>
      <c r="S224" s="46"/>
      <c r="T224" s="46"/>
      <c r="U224" s="24"/>
      <c r="V224" s="24"/>
    </row>
    <row r="225" spans="10:22" s="44" customFormat="1" ht="15.75" x14ac:dyDescent="0.25">
      <c r="J225" s="24"/>
      <c r="K225" s="47"/>
      <c r="O225" s="46"/>
      <c r="P225" s="46"/>
      <c r="Q225" s="46"/>
      <c r="R225" s="46"/>
      <c r="S225" s="46"/>
      <c r="T225" s="46"/>
      <c r="U225" s="24"/>
      <c r="V225" s="24"/>
    </row>
    <row r="226" spans="10:22" s="44" customFormat="1" ht="15.75" x14ac:dyDescent="0.25">
      <c r="J226" s="24"/>
      <c r="K226" s="47"/>
      <c r="O226" s="46"/>
      <c r="P226" s="46"/>
      <c r="Q226" s="46"/>
      <c r="R226" s="46"/>
      <c r="S226" s="46"/>
      <c r="T226" s="46"/>
      <c r="U226" s="24"/>
      <c r="V226" s="24"/>
    </row>
    <row r="227" spans="10:22" s="44" customFormat="1" ht="15.75" x14ac:dyDescent="0.25">
      <c r="J227" s="24"/>
      <c r="K227" s="47"/>
      <c r="O227" s="46"/>
      <c r="P227" s="46"/>
      <c r="Q227" s="46"/>
      <c r="R227" s="46"/>
      <c r="S227" s="46"/>
      <c r="T227" s="46"/>
      <c r="U227" s="24"/>
      <c r="V227" s="24"/>
    </row>
    <row r="228" spans="10:22" s="44" customFormat="1" ht="15.75" x14ac:dyDescent="0.25">
      <c r="J228" s="24"/>
      <c r="K228" s="47"/>
      <c r="O228" s="46"/>
      <c r="P228" s="46"/>
      <c r="Q228" s="46"/>
      <c r="R228" s="46"/>
      <c r="S228" s="46"/>
      <c r="T228" s="46"/>
      <c r="U228" s="24"/>
      <c r="V228" s="24"/>
    </row>
    <row r="229" spans="10:22" s="44" customFormat="1" ht="15.75" x14ac:dyDescent="0.25">
      <c r="J229" s="24"/>
      <c r="K229" s="47"/>
      <c r="O229" s="46"/>
      <c r="P229" s="46"/>
      <c r="Q229" s="46"/>
      <c r="R229" s="46"/>
      <c r="S229" s="46"/>
      <c r="T229" s="46"/>
      <c r="U229" s="24"/>
      <c r="V229" s="24"/>
    </row>
    <row r="230" spans="10:22" s="44" customFormat="1" ht="15.75" x14ac:dyDescent="0.25">
      <c r="J230" s="24"/>
      <c r="K230" s="47"/>
      <c r="O230" s="46"/>
      <c r="P230" s="46"/>
      <c r="Q230" s="46"/>
      <c r="R230" s="46"/>
      <c r="S230" s="46"/>
      <c r="T230" s="46"/>
      <c r="U230" s="24"/>
      <c r="V230" s="24"/>
    </row>
    <row r="231" spans="10:22" s="44" customFormat="1" ht="15.75" x14ac:dyDescent="0.25">
      <c r="J231" s="24"/>
      <c r="K231" s="47"/>
      <c r="O231" s="46"/>
      <c r="P231" s="46"/>
      <c r="Q231" s="46"/>
      <c r="R231" s="46"/>
      <c r="S231" s="46"/>
      <c r="T231" s="46"/>
      <c r="U231" s="24"/>
      <c r="V231" s="24"/>
    </row>
    <row r="232" spans="10:22" s="44" customFormat="1" ht="15.75" x14ac:dyDescent="0.25">
      <c r="J232" s="24"/>
      <c r="K232" s="47"/>
      <c r="O232" s="46"/>
      <c r="P232" s="46"/>
      <c r="Q232" s="46"/>
      <c r="R232" s="46"/>
      <c r="S232" s="46"/>
      <c r="T232" s="46"/>
      <c r="U232" s="24"/>
      <c r="V232" s="24"/>
    </row>
    <row r="233" spans="10:22" s="44" customFormat="1" ht="15.75" x14ac:dyDescent="0.25">
      <c r="J233" s="24"/>
      <c r="K233" s="47"/>
      <c r="O233" s="46"/>
      <c r="P233" s="46"/>
      <c r="Q233" s="46"/>
      <c r="R233" s="46"/>
      <c r="S233" s="46"/>
      <c r="T233" s="46"/>
      <c r="U233" s="24"/>
      <c r="V233" s="24"/>
    </row>
    <row r="234" spans="10:22" s="44" customFormat="1" ht="15.75" x14ac:dyDescent="0.25">
      <c r="J234" s="24"/>
      <c r="K234" s="47"/>
      <c r="O234" s="46"/>
      <c r="P234" s="46"/>
      <c r="Q234" s="46"/>
      <c r="R234" s="46"/>
      <c r="S234" s="46"/>
      <c r="T234" s="46"/>
      <c r="U234" s="24"/>
      <c r="V234" s="24"/>
    </row>
    <row r="235" spans="10:22" s="44" customFormat="1" ht="15.75" x14ac:dyDescent="0.25">
      <c r="J235" s="24"/>
      <c r="K235" s="47"/>
      <c r="O235" s="46"/>
      <c r="P235" s="46"/>
      <c r="Q235" s="46"/>
      <c r="R235" s="46"/>
      <c r="S235" s="46"/>
      <c r="T235" s="46"/>
      <c r="U235" s="24"/>
      <c r="V235" s="24"/>
    </row>
    <row r="236" spans="10:22" s="44" customFormat="1" ht="15.75" x14ac:dyDescent="0.25">
      <c r="J236" s="24"/>
      <c r="K236" s="47"/>
      <c r="O236" s="46"/>
      <c r="P236" s="46"/>
      <c r="Q236" s="46"/>
      <c r="R236" s="46"/>
      <c r="S236" s="46"/>
      <c r="T236" s="46"/>
      <c r="U236" s="24"/>
      <c r="V236" s="24"/>
    </row>
    <row r="237" spans="10:22" s="44" customFormat="1" ht="15.75" x14ac:dyDescent="0.25">
      <c r="J237" s="24"/>
      <c r="K237" s="47"/>
      <c r="O237" s="46"/>
      <c r="P237" s="46"/>
      <c r="Q237" s="46"/>
      <c r="R237" s="46"/>
      <c r="S237" s="46"/>
      <c r="T237" s="46"/>
      <c r="U237" s="24"/>
      <c r="V237" s="24"/>
    </row>
    <row r="238" spans="10:22" s="44" customFormat="1" ht="15.75" x14ac:dyDescent="0.25">
      <c r="J238" s="24"/>
      <c r="K238" s="47"/>
      <c r="O238" s="46"/>
      <c r="P238" s="46"/>
      <c r="Q238" s="46"/>
      <c r="R238" s="46"/>
      <c r="S238" s="46"/>
      <c r="T238" s="46"/>
      <c r="U238" s="24"/>
      <c r="V238" s="24"/>
    </row>
    <row r="239" spans="10:22" s="44" customFormat="1" ht="15.75" x14ac:dyDescent="0.25">
      <c r="J239" s="24"/>
      <c r="K239" s="47"/>
      <c r="O239" s="46"/>
      <c r="P239" s="46"/>
      <c r="Q239" s="46"/>
      <c r="R239" s="46"/>
      <c r="S239" s="46"/>
      <c r="T239" s="46"/>
      <c r="U239" s="24"/>
      <c r="V239" s="24"/>
    </row>
    <row r="240" spans="10:22" s="44" customFormat="1" ht="15.75" x14ac:dyDescent="0.25">
      <c r="J240" s="24"/>
      <c r="K240" s="47"/>
      <c r="O240" s="46"/>
      <c r="P240" s="46"/>
      <c r="Q240" s="46"/>
      <c r="R240" s="46"/>
      <c r="S240" s="46"/>
      <c r="T240" s="46"/>
      <c r="U240" s="24"/>
      <c r="V240" s="24"/>
    </row>
    <row r="241" spans="10:22" s="44" customFormat="1" ht="15.75" x14ac:dyDescent="0.25">
      <c r="J241" s="24"/>
      <c r="K241" s="47"/>
      <c r="O241" s="46"/>
      <c r="P241" s="46"/>
      <c r="Q241" s="46"/>
      <c r="R241" s="46"/>
      <c r="S241" s="46"/>
      <c r="T241" s="46"/>
      <c r="U241" s="24"/>
      <c r="V241" s="24"/>
    </row>
    <row r="242" spans="10:22" s="44" customFormat="1" ht="15.75" x14ac:dyDescent="0.25">
      <c r="J242" s="24"/>
      <c r="K242" s="47"/>
      <c r="O242" s="46"/>
      <c r="P242" s="46"/>
      <c r="Q242" s="46"/>
      <c r="R242" s="46"/>
      <c r="S242" s="46"/>
      <c r="T242" s="46"/>
      <c r="U242" s="24"/>
      <c r="V242" s="24"/>
    </row>
    <row r="243" spans="10:22" s="44" customFormat="1" ht="15.75" x14ac:dyDescent="0.25">
      <c r="J243" s="24"/>
      <c r="K243" s="47"/>
      <c r="O243" s="46"/>
      <c r="P243" s="46"/>
      <c r="Q243" s="46"/>
      <c r="R243" s="46"/>
      <c r="S243" s="46"/>
      <c r="T243" s="46"/>
      <c r="U243" s="24"/>
      <c r="V243" s="24"/>
    </row>
    <row r="244" spans="10:22" s="44" customFormat="1" ht="15.75" x14ac:dyDescent="0.25">
      <c r="J244" s="24"/>
      <c r="K244" s="47"/>
      <c r="O244" s="46"/>
      <c r="P244" s="46"/>
      <c r="Q244" s="46"/>
      <c r="R244" s="46"/>
      <c r="S244" s="46"/>
      <c r="T244" s="46"/>
      <c r="U244" s="24"/>
      <c r="V244" s="24"/>
    </row>
    <row r="245" spans="10:22" s="44" customFormat="1" ht="15.75" x14ac:dyDescent="0.25">
      <c r="J245" s="24"/>
      <c r="K245" s="47"/>
      <c r="O245" s="46"/>
      <c r="P245" s="46"/>
      <c r="Q245" s="46"/>
      <c r="R245" s="46"/>
      <c r="S245" s="46"/>
      <c r="T245" s="46"/>
      <c r="U245" s="24"/>
      <c r="V245" s="24"/>
    </row>
    <row r="246" spans="10:22" s="44" customFormat="1" ht="15.75" x14ac:dyDescent="0.25">
      <c r="J246" s="24"/>
      <c r="K246" s="47"/>
      <c r="O246" s="46"/>
      <c r="P246" s="46"/>
      <c r="Q246" s="46"/>
      <c r="R246" s="46"/>
      <c r="S246" s="46"/>
      <c r="T246" s="46"/>
      <c r="U246" s="24"/>
      <c r="V246" s="24"/>
    </row>
    <row r="247" spans="10:22" s="44" customFormat="1" ht="15.75" x14ac:dyDescent="0.25">
      <c r="J247" s="24"/>
      <c r="K247" s="47"/>
      <c r="O247" s="46"/>
      <c r="P247" s="46"/>
      <c r="Q247" s="46"/>
      <c r="R247" s="46"/>
      <c r="S247" s="46"/>
      <c r="T247" s="46"/>
      <c r="U247" s="24"/>
      <c r="V247" s="24"/>
    </row>
    <row r="248" spans="10:22" s="44" customFormat="1" ht="15.75" x14ac:dyDescent="0.25">
      <c r="J248" s="24"/>
      <c r="K248" s="47"/>
      <c r="O248" s="46"/>
      <c r="P248" s="46"/>
      <c r="Q248" s="46"/>
      <c r="R248" s="46"/>
      <c r="S248" s="46"/>
      <c r="T248" s="46"/>
      <c r="U248" s="24"/>
      <c r="V248" s="24"/>
    </row>
    <row r="249" spans="10:22" s="44" customFormat="1" ht="15.75" x14ac:dyDescent="0.25">
      <c r="J249" s="24"/>
      <c r="K249" s="47"/>
      <c r="O249" s="46"/>
      <c r="P249" s="46"/>
      <c r="Q249" s="46"/>
      <c r="R249" s="46"/>
      <c r="S249" s="46"/>
      <c r="T249" s="46"/>
      <c r="U249" s="24"/>
      <c r="V249" s="24"/>
    </row>
    <row r="250" spans="10:22" s="44" customFormat="1" ht="15.75" x14ac:dyDescent="0.25">
      <c r="J250" s="24"/>
      <c r="K250" s="47"/>
      <c r="O250" s="46"/>
      <c r="P250" s="46"/>
      <c r="Q250" s="46"/>
      <c r="R250" s="46"/>
      <c r="S250" s="46"/>
      <c r="T250" s="46"/>
      <c r="U250" s="24"/>
      <c r="V250" s="24"/>
    </row>
    <row r="251" spans="10:22" s="44" customFormat="1" ht="15.75" x14ac:dyDescent="0.25">
      <c r="J251" s="24"/>
      <c r="K251" s="47"/>
      <c r="O251" s="46"/>
      <c r="P251" s="46"/>
      <c r="Q251" s="46"/>
      <c r="R251" s="46"/>
      <c r="S251" s="46"/>
      <c r="T251" s="46"/>
      <c r="U251" s="24"/>
      <c r="V251" s="24"/>
    </row>
    <row r="252" spans="10:22" s="44" customFormat="1" ht="15.75" x14ac:dyDescent="0.25">
      <c r="J252" s="24"/>
      <c r="K252" s="47"/>
      <c r="O252" s="46"/>
      <c r="P252" s="46"/>
      <c r="Q252" s="46"/>
      <c r="R252" s="46"/>
      <c r="S252" s="46"/>
      <c r="T252" s="46"/>
      <c r="U252" s="24"/>
      <c r="V252" s="24"/>
    </row>
    <row r="253" spans="10:22" s="44" customFormat="1" ht="15.75" x14ac:dyDescent="0.25">
      <c r="J253" s="24"/>
      <c r="K253" s="47"/>
      <c r="O253" s="46"/>
      <c r="P253" s="46"/>
      <c r="Q253" s="46"/>
      <c r="R253" s="46"/>
      <c r="S253" s="46"/>
      <c r="T253" s="46"/>
      <c r="U253" s="24"/>
      <c r="V253" s="24"/>
    </row>
    <row r="254" spans="10:22" s="44" customFormat="1" ht="15.75" x14ac:dyDescent="0.25">
      <c r="J254" s="24"/>
      <c r="K254" s="47"/>
      <c r="O254" s="46"/>
      <c r="P254" s="46"/>
      <c r="Q254" s="46"/>
      <c r="R254" s="46"/>
      <c r="S254" s="46"/>
      <c r="T254" s="46"/>
      <c r="U254" s="24"/>
      <c r="V254" s="24"/>
    </row>
    <row r="255" spans="10:22" s="44" customFormat="1" ht="15.75" x14ac:dyDescent="0.25">
      <c r="J255" s="24"/>
      <c r="K255" s="47"/>
      <c r="O255" s="46"/>
      <c r="P255" s="46"/>
      <c r="Q255" s="46"/>
      <c r="R255" s="46"/>
      <c r="S255" s="46"/>
      <c r="T255" s="46"/>
      <c r="U255" s="24"/>
      <c r="V255" s="24"/>
    </row>
    <row r="256" spans="10:22" s="44" customFormat="1" ht="15.75" x14ac:dyDescent="0.25">
      <c r="J256" s="24"/>
      <c r="K256" s="47"/>
      <c r="O256" s="46"/>
      <c r="P256" s="46"/>
      <c r="Q256" s="46"/>
      <c r="R256" s="46"/>
      <c r="S256" s="46"/>
      <c r="T256" s="46"/>
      <c r="U256" s="24"/>
      <c r="V256" s="24"/>
    </row>
    <row r="257" spans="10:22" s="44" customFormat="1" ht="15.75" x14ac:dyDescent="0.25">
      <c r="J257" s="24"/>
      <c r="K257" s="47"/>
      <c r="O257" s="46"/>
      <c r="P257" s="46"/>
      <c r="Q257" s="46"/>
      <c r="R257" s="46"/>
      <c r="S257" s="46"/>
      <c r="T257" s="46"/>
      <c r="U257" s="24"/>
      <c r="V257" s="24"/>
    </row>
    <row r="258" spans="10:22" s="44" customFormat="1" ht="15.75" x14ac:dyDescent="0.25">
      <c r="J258" s="24"/>
      <c r="K258" s="47"/>
      <c r="O258" s="46"/>
      <c r="P258" s="46"/>
      <c r="Q258" s="46"/>
      <c r="R258" s="46"/>
      <c r="S258" s="46"/>
      <c r="T258" s="46"/>
      <c r="U258" s="24"/>
      <c r="V258" s="24"/>
    </row>
    <row r="259" spans="10:22" s="44" customFormat="1" ht="15.75" x14ac:dyDescent="0.25">
      <c r="J259" s="24"/>
      <c r="K259" s="47"/>
      <c r="O259" s="46"/>
      <c r="P259" s="46"/>
      <c r="Q259" s="46"/>
      <c r="R259" s="46"/>
      <c r="S259" s="46"/>
      <c r="T259" s="46"/>
      <c r="U259" s="24"/>
      <c r="V259" s="24"/>
    </row>
    <row r="260" spans="10:22" s="44" customFormat="1" ht="15.75" x14ac:dyDescent="0.25">
      <c r="J260" s="24"/>
      <c r="K260" s="47"/>
      <c r="O260" s="46"/>
      <c r="P260" s="46"/>
      <c r="Q260" s="46"/>
      <c r="R260" s="46"/>
      <c r="S260" s="46"/>
      <c r="T260" s="46"/>
      <c r="U260" s="24"/>
      <c r="V260" s="24"/>
    </row>
    <row r="261" spans="10:22" s="44" customFormat="1" ht="15.75" x14ac:dyDescent="0.25">
      <c r="J261" s="24"/>
      <c r="K261" s="47"/>
      <c r="O261" s="46"/>
      <c r="P261" s="46"/>
      <c r="Q261" s="46"/>
      <c r="R261" s="46"/>
      <c r="S261" s="46"/>
      <c r="T261" s="46"/>
      <c r="U261" s="24"/>
      <c r="V261" s="24"/>
    </row>
    <row r="262" spans="10:22" s="44" customFormat="1" ht="15.75" x14ac:dyDescent="0.25">
      <c r="J262" s="24"/>
      <c r="K262" s="47"/>
      <c r="O262" s="46"/>
      <c r="P262" s="46"/>
      <c r="Q262" s="46"/>
      <c r="R262" s="46"/>
      <c r="S262" s="46"/>
      <c r="T262" s="46"/>
      <c r="U262" s="24"/>
      <c r="V262" s="24"/>
    </row>
    <row r="263" spans="10:22" s="44" customFormat="1" ht="15.75" x14ac:dyDescent="0.25">
      <c r="J263" s="24"/>
      <c r="K263" s="47"/>
      <c r="O263" s="46"/>
      <c r="P263" s="46"/>
      <c r="Q263" s="46"/>
      <c r="R263" s="46"/>
      <c r="S263" s="46"/>
      <c r="T263" s="46"/>
      <c r="U263" s="24"/>
      <c r="V263" s="24"/>
    </row>
    <row r="264" spans="10:22" s="44" customFormat="1" ht="15.75" x14ac:dyDescent="0.25">
      <c r="J264" s="24"/>
      <c r="K264" s="47"/>
      <c r="O264" s="46"/>
      <c r="P264" s="46"/>
      <c r="Q264" s="46"/>
      <c r="R264" s="46"/>
      <c r="S264" s="46"/>
      <c r="T264" s="46"/>
      <c r="U264" s="24"/>
      <c r="V264" s="24"/>
    </row>
    <row r="265" spans="10:22" s="44" customFormat="1" ht="15.75" x14ac:dyDescent="0.25">
      <c r="J265" s="24"/>
      <c r="K265" s="47"/>
      <c r="O265" s="46"/>
      <c r="P265" s="46"/>
      <c r="Q265" s="46"/>
      <c r="R265" s="46"/>
      <c r="S265" s="46"/>
      <c r="T265" s="46"/>
      <c r="U265" s="24"/>
      <c r="V265" s="24"/>
    </row>
    <row r="266" spans="10:22" s="44" customFormat="1" ht="15.75" x14ac:dyDescent="0.25">
      <c r="J266" s="24"/>
      <c r="K266" s="47"/>
      <c r="O266" s="46"/>
      <c r="P266" s="46"/>
      <c r="Q266" s="46"/>
      <c r="R266" s="46"/>
      <c r="S266" s="46"/>
      <c r="T266" s="46"/>
      <c r="U266" s="24"/>
      <c r="V266" s="24"/>
    </row>
    <row r="267" spans="10:22" s="44" customFormat="1" ht="15.75" x14ac:dyDescent="0.25">
      <c r="J267" s="24"/>
      <c r="K267" s="47"/>
      <c r="O267" s="46"/>
      <c r="P267" s="46"/>
      <c r="Q267" s="46"/>
      <c r="R267" s="46"/>
      <c r="S267" s="46"/>
      <c r="T267" s="46"/>
      <c r="U267" s="24"/>
      <c r="V267" s="24"/>
    </row>
    <row r="268" spans="10:22" s="44" customFormat="1" ht="15.75" x14ac:dyDescent="0.25">
      <c r="J268" s="24"/>
      <c r="K268" s="47"/>
      <c r="O268" s="46"/>
      <c r="P268" s="46"/>
      <c r="Q268" s="46"/>
      <c r="R268" s="46"/>
      <c r="S268" s="46"/>
      <c r="T268" s="46"/>
      <c r="U268" s="24"/>
      <c r="V268" s="24"/>
    </row>
    <row r="269" spans="10:22" s="44" customFormat="1" ht="15.75" x14ac:dyDescent="0.25">
      <c r="J269" s="24"/>
      <c r="K269" s="47"/>
      <c r="O269" s="46"/>
      <c r="P269" s="46"/>
      <c r="Q269" s="46"/>
      <c r="R269" s="46"/>
      <c r="S269" s="46"/>
      <c r="T269" s="46"/>
      <c r="U269" s="24"/>
      <c r="V269" s="24"/>
    </row>
    <row r="270" spans="10:22" s="44" customFormat="1" ht="15.75" x14ac:dyDescent="0.25">
      <c r="J270" s="24"/>
      <c r="K270" s="47"/>
      <c r="O270" s="46"/>
      <c r="P270" s="46"/>
      <c r="Q270" s="46"/>
      <c r="R270" s="46"/>
      <c r="S270" s="46"/>
      <c r="T270" s="46"/>
      <c r="U270" s="24"/>
      <c r="V270" s="24"/>
    </row>
    <row r="271" spans="10:22" s="44" customFormat="1" ht="15.75" x14ac:dyDescent="0.25">
      <c r="J271" s="24"/>
      <c r="K271" s="47"/>
      <c r="O271" s="46"/>
      <c r="P271" s="46"/>
      <c r="Q271" s="46"/>
      <c r="R271" s="46"/>
      <c r="S271" s="46"/>
      <c r="T271" s="46"/>
      <c r="U271" s="24"/>
      <c r="V271" s="24"/>
    </row>
    <row r="272" spans="10:22" s="44" customFormat="1" ht="15.75" x14ac:dyDescent="0.25">
      <c r="J272" s="24"/>
      <c r="K272" s="47"/>
      <c r="O272" s="46"/>
      <c r="P272" s="46"/>
      <c r="Q272" s="46"/>
      <c r="R272" s="46"/>
      <c r="S272" s="46"/>
      <c r="T272" s="46"/>
      <c r="U272" s="24"/>
      <c r="V272" s="24"/>
    </row>
    <row r="273" spans="10:22" s="44" customFormat="1" ht="15.75" x14ac:dyDescent="0.25">
      <c r="J273" s="24"/>
      <c r="K273" s="47"/>
      <c r="O273" s="46"/>
      <c r="P273" s="46"/>
      <c r="Q273" s="46"/>
      <c r="R273" s="46"/>
      <c r="S273" s="46"/>
      <c r="T273" s="46"/>
      <c r="U273" s="24"/>
      <c r="V273" s="24"/>
    </row>
    <row r="274" spans="10:22" s="44" customFormat="1" ht="15.75" x14ac:dyDescent="0.25">
      <c r="J274" s="24"/>
      <c r="K274" s="47"/>
      <c r="O274" s="46"/>
      <c r="P274" s="46"/>
      <c r="Q274" s="46"/>
      <c r="R274" s="46"/>
      <c r="S274" s="46"/>
      <c r="T274" s="46"/>
      <c r="U274" s="24"/>
      <c r="V274" s="24"/>
    </row>
    <row r="275" spans="10:22" s="44" customFormat="1" ht="15.75" x14ac:dyDescent="0.25">
      <c r="J275" s="24"/>
      <c r="K275" s="47"/>
      <c r="O275" s="46"/>
      <c r="P275" s="46"/>
      <c r="Q275" s="46"/>
      <c r="R275" s="46"/>
      <c r="S275" s="46"/>
      <c r="T275" s="46"/>
      <c r="U275" s="24"/>
      <c r="V275" s="24"/>
    </row>
    <row r="276" spans="10:22" s="44" customFormat="1" ht="15.75" x14ac:dyDescent="0.25">
      <c r="J276" s="24"/>
      <c r="K276" s="47"/>
      <c r="O276" s="46"/>
      <c r="P276" s="46"/>
      <c r="Q276" s="46"/>
      <c r="R276" s="46"/>
      <c r="S276" s="46"/>
      <c r="T276" s="46"/>
      <c r="U276" s="24"/>
      <c r="V276" s="24"/>
    </row>
    <row r="277" spans="10:22" s="44" customFormat="1" ht="15.75" x14ac:dyDescent="0.25">
      <c r="J277" s="24"/>
      <c r="K277" s="47"/>
      <c r="O277" s="46"/>
      <c r="P277" s="46"/>
      <c r="Q277" s="46"/>
      <c r="R277" s="46"/>
      <c r="S277" s="46"/>
      <c r="T277" s="46"/>
      <c r="U277" s="24"/>
      <c r="V277" s="24"/>
    </row>
    <row r="278" spans="10:22" s="44" customFormat="1" ht="15.75" x14ac:dyDescent="0.25">
      <c r="J278" s="24"/>
      <c r="K278" s="47"/>
      <c r="O278" s="46"/>
      <c r="P278" s="46"/>
      <c r="Q278" s="46"/>
      <c r="R278" s="46"/>
      <c r="S278" s="46"/>
      <c r="T278" s="46"/>
      <c r="U278" s="24"/>
      <c r="V278" s="24"/>
    </row>
    <row r="279" spans="10:22" s="44" customFormat="1" ht="15.75" x14ac:dyDescent="0.25">
      <c r="J279" s="24"/>
      <c r="K279" s="47"/>
      <c r="O279" s="46"/>
      <c r="P279" s="46"/>
      <c r="Q279" s="46"/>
      <c r="R279" s="46"/>
      <c r="S279" s="46"/>
      <c r="T279" s="46"/>
      <c r="U279" s="24"/>
      <c r="V279" s="24"/>
    </row>
    <row r="280" spans="10:22" s="44" customFormat="1" ht="15.75" x14ac:dyDescent="0.25">
      <c r="J280" s="24"/>
      <c r="K280" s="47"/>
      <c r="O280" s="46"/>
      <c r="P280" s="46"/>
      <c r="Q280" s="46"/>
      <c r="R280" s="46"/>
      <c r="S280" s="46"/>
      <c r="T280" s="46"/>
      <c r="U280" s="24"/>
      <c r="V280" s="24"/>
    </row>
    <row r="281" spans="10:22" s="44" customFormat="1" ht="15.75" x14ac:dyDescent="0.25">
      <c r="J281" s="24"/>
      <c r="K281" s="47"/>
      <c r="O281" s="46"/>
      <c r="P281" s="46"/>
      <c r="Q281" s="46"/>
      <c r="R281" s="46"/>
      <c r="S281" s="46"/>
      <c r="T281" s="46"/>
      <c r="U281" s="24"/>
      <c r="V281" s="24"/>
    </row>
    <row r="282" spans="10:22" s="44" customFormat="1" ht="15.75" x14ac:dyDescent="0.25">
      <c r="J282" s="24"/>
      <c r="K282" s="47"/>
      <c r="O282" s="46"/>
      <c r="P282" s="46"/>
      <c r="Q282" s="46"/>
      <c r="R282" s="46"/>
      <c r="S282" s="46"/>
      <c r="T282" s="46"/>
      <c r="U282" s="24"/>
      <c r="V282" s="24"/>
    </row>
    <row r="283" spans="10:22" s="44" customFormat="1" ht="15.75" x14ac:dyDescent="0.25">
      <c r="J283" s="24"/>
      <c r="K283" s="47"/>
      <c r="O283" s="46"/>
      <c r="P283" s="46"/>
      <c r="Q283" s="46"/>
      <c r="R283" s="46"/>
      <c r="S283" s="46"/>
      <c r="T283" s="46"/>
      <c r="U283" s="24"/>
      <c r="V283" s="24"/>
    </row>
    <row r="284" spans="10:22" s="44" customFormat="1" ht="15.75" x14ac:dyDescent="0.25">
      <c r="J284" s="24"/>
      <c r="K284" s="47"/>
      <c r="O284" s="46"/>
      <c r="P284" s="46"/>
      <c r="Q284" s="46"/>
      <c r="R284" s="46"/>
      <c r="S284" s="46"/>
      <c r="T284" s="46"/>
      <c r="U284" s="24"/>
      <c r="V284" s="24"/>
    </row>
    <row r="285" spans="10:22" s="44" customFormat="1" ht="15.75" x14ac:dyDescent="0.25">
      <c r="J285" s="24"/>
      <c r="K285" s="47"/>
      <c r="O285" s="46"/>
      <c r="P285" s="46"/>
      <c r="Q285" s="46"/>
      <c r="R285" s="46"/>
      <c r="S285" s="46"/>
      <c r="T285" s="46"/>
      <c r="U285" s="24"/>
      <c r="V285" s="24"/>
    </row>
    <row r="286" spans="10:22" s="44" customFormat="1" ht="15.75" x14ac:dyDescent="0.25">
      <c r="J286" s="24"/>
      <c r="K286" s="47"/>
      <c r="O286" s="46"/>
      <c r="P286" s="46"/>
      <c r="Q286" s="46"/>
      <c r="R286" s="46"/>
      <c r="S286" s="46"/>
      <c r="T286" s="46"/>
      <c r="U286" s="24"/>
      <c r="V286" s="24"/>
    </row>
    <row r="287" spans="10:22" s="44" customFormat="1" ht="15.75" x14ac:dyDescent="0.25">
      <c r="J287" s="24"/>
      <c r="K287" s="47"/>
      <c r="O287" s="46"/>
      <c r="P287" s="46"/>
      <c r="Q287" s="46"/>
      <c r="R287" s="46"/>
      <c r="S287" s="46"/>
      <c r="T287" s="46"/>
      <c r="U287" s="24"/>
      <c r="V287" s="24"/>
    </row>
    <row r="288" spans="10:22" s="44" customFormat="1" ht="15.75" x14ac:dyDescent="0.25">
      <c r="J288" s="24"/>
      <c r="K288" s="47"/>
      <c r="O288" s="46"/>
      <c r="P288" s="46"/>
      <c r="Q288" s="46"/>
      <c r="R288" s="46"/>
      <c r="S288" s="46"/>
      <c r="T288" s="46"/>
      <c r="U288" s="24"/>
      <c r="V288" s="24"/>
    </row>
    <row r="289" spans="10:22" s="44" customFormat="1" ht="15.75" x14ac:dyDescent="0.25">
      <c r="J289" s="24"/>
      <c r="K289" s="47"/>
      <c r="O289" s="46"/>
      <c r="P289" s="46"/>
      <c r="Q289" s="46"/>
      <c r="R289" s="46"/>
      <c r="S289" s="46"/>
      <c r="T289" s="46"/>
      <c r="U289" s="24"/>
      <c r="V289" s="24"/>
    </row>
    <row r="290" spans="10:22" s="44" customFormat="1" ht="15.75" x14ac:dyDescent="0.25">
      <c r="J290" s="24"/>
      <c r="K290" s="47"/>
      <c r="O290" s="46"/>
      <c r="P290" s="46"/>
      <c r="Q290" s="46"/>
      <c r="R290" s="46"/>
      <c r="S290" s="46"/>
      <c r="T290" s="46"/>
      <c r="U290" s="24"/>
      <c r="V290" s="24"/>
    </row>
    <row r="291" spans="10:22" s="44" customFormat="1" ht="15.75" x14ac:dyDescent="0.25">
      <c r="J291" s="24"/>
      <c r="K291" s="47"/>
      <c r="O291" s="46"/>
      <c r="P291" s="46"/>
      <c r="Q291" s="46"/>
      <c r="R291" s="46"/>
      <c r="S291" s="46"/>
      <c r="T291" s="46"/>
      <c r="U291" s="24"/>
      <c r="V291" s="24"/>
    </row>
    <row r="292" spans="10:22" s="44" customFormat="1" ht="15.75" x14ac:dyDescent="0.25">
      <c r="J292" s="24"/>
      <c r="K292" s="47"/>
      <c r="O292" s="46"/>
      <c r="P292" s="46"/>
      <c r="Q292" s="46"/>
      <c r="R292" s="46"/>
      <c r="S292" s="46"/>
      <c r="T292" s="46"/>
      <c r="U292" s="24"/>
      <c r="V292" s="24"/>
    </row>
    <row r="293" spans="10:22" s="44" customFormat="1" ht="15.75" x14ac:dyDescent="0.25">
      <c r="J293" s="24"/>
      <c r="K293" s="47"/>
      <c r="O293" s="46"/>
      <c r="P293" s="46"/>
      <c r="Q293" s="46"/>
      <c r="R293" s="46"/>
      <c r="S293" s="46"/>
      <c r="T293" s="46"/>
      <c r="U293" s="24"/>
      <c r="V293" s="24"/>
    </row>
    <row r="294" spans="10:22" s="44" customFormat="1" ht="15.75" x14ac:dyDescent="0.25">
      <c r="J294" s="24"/>
      <c r="K294" s="47"/>
      <c r="O294" s="46"/>
      <c r="P294" s="46"/>
      <c r="Q294" s="46"/>
      <c r="R294" s="46"/>
      <c r="S294" s="46"/>
      <c r="T294" s="46"/>
      <c r="U294" s="24"/>
      <c r="V294" s="24"/>
    </row>
    <row r="295" spans="10:22" s="44" customFormat="1" ht="15.75" x14ac:dyDescent="0.25">
      <c r="J295" s="24"/>
      <c r="K295" s="47"/>
      <c r="O295" s="46"/>
      <c r="P295" s="46"/>
      <c r="Q295" s="46"/>
      <c r="R295" s="46"/>
      <c r="S295" s="46"/>
      <c r="T295" s="46"/>
      <c r="U295" s="24"/>
      <c r="V295" s="24"/>
    </row>
    <row r="296" spans="10:22" s="44" customFormat="1" ht="15.75" x14ac:dyDescent="0.25">
      <c r="J296" s="24"/>
      <c r="K296" s="47"/>
      <c r="O296" s="46"/>
      <c r="P296" s="46"/>
      <c r="Q296" s="46"/>
      <c r="R296" s="46"/>
      <c r="S296" s="46"/>
      <c r="T296" s="46"/>
      <c r="U296" s="24"/>
      <c r="V296" s="24"/>
    </row>
    <row r="297" spans="10:22" s="44" customFormat="1" ht="15.75" x14ac:dyDescent="0.25">
      <c r="J297" s="24"/>
      <c r="K297" s="47"/>
      <c r="O297" s="46"/>
      <c r="P297" s="46"/>
      <c r="Q297" s="46"/>
      <c r="R297" s="46"/>
      <c r="S297" s="46"/>
      <c r="T297" s="46"/>
      <c r="U297" s="24"/>
      <c r="V297" s="24"/>
    </row>
    <row r="298" spans="10:22" s="44" customFormat="1" ht="15.75" x14ac:dyDescent="0.25">
      <c r="J298" s="24"/>
      <c r="K298" s="47"/>
      <c r="O298" s="46"/>
      <c r="P298" s="46"/>
      <c r="Q298" s="46"/>
      <c r="R298" s="46"/>
      <c r="S298" s="46"/>
      <c r="T298" s="46"/>
      <c r="U298" s="24"/>
      <c r="V298" s="24"/>
    </row>
    <row r="299" spans="10:22" s="44" customFormat="1" ht="15.75" x14ac:dyDescent="0.25">
      <c r="J299" s="24"/>
      <c r="K299" s="47"/>
      <c r="O299" s="46"/>
      <c r="P299" s="46"/>
      <c r="Q299" s="46"/>
      <c r="R299" s="46"/>
      <c r="S299" s="46"/>
      <c r="T299" s="46"/>
      <c r="U299" s="24"/>
      <c r="V299" s="24"/>
    </row>
    <row r="300" spans="10:22" s="44" customFormat="1" ht="15.75" x14ac:dyDescent="0.25">
      <c r="J300" s="24"/>
      <c r="K300" s="47"/>
      <c r="O300" s="46"/>
      <c r="P300" s="46"/>
      <c r="Q300" s="46"/>
      <c r="R300" s="46"/>
      <c r="S300" s="46"/>
      <c r="T300" s="46"/>
      <c r="U300" s="24"/>
      <c r="V300" s="24"/>
    </row>
    <row r="301" spans="10:22" s="44" customFormat="1" ht="15.75" x14ac:dyDescent="0.25">
      <c r="J301" s="24"/>
      <c r="K301" s="47"/>
      <c r="O301" s="46"/>
      <c r="P301" s="46"/>
      <c r="Q301" s="46"/>
      <c r="R301" s="46"/>
      <c r="S301" s="46"/>
      <c r="T301" s="46"/>
      <c r="U301" s="24"/>
      <c r="V301" s="24"/>
    </row>
    <row r="302" spans="10:22" s="44" customFormat="1" ht="15.75" x14ac:dyDescent="0.25">
      <c r="J302" s="24"/>
      <c r="K302" s="47"/>
      <c r="O302" s="46"/>
      <c r="P302" s="46"/>
      <c r="Q302" s="46"/>
      <c r="R302" s="46"/>
      <c r="S302" s="46"/>
      <c r="T302" s="46"/>
      <c r="U302" s="24"/>
      <c r="V302" s="24"/>
    </row>
    <row r="303" spans="10:22" s="44" customFormat="1" ht="15.75" x14ac:dyDescent="0.25">
      <c r="J303" s="24"/>
      <c r="K303" s="47"/>
      <c r="O303" s="46"/>
      <c r="P303" s="46"/>
      <c r="Q303" s="46"/>
      <c r="R303" s="46"/>
      <c r="S303" s="46"/>
      <c r="T303" s="46"/>
      <c r="U303" s="24"/>
      <c r="V303" s="24"/>
    </row>
    <row r="304" spans="10:22" s="44" customFormat="1" ht="15.75" x14ac:dyDescent="0.25">
      <c r="J304" s="24"/>
      <c r="K304" s="47"/>
      <c r="O304" s="46"/>
      <c r="P304" s="46"/>
      <c r="Q304" s="46"/>
      <c r="R304" s="46"/>
      <c r="S304" s="46"/>
      <c r="T304" s="46"/>
      <c r="U304" s="24"/>
      <c r="V304" s="24"/>
    </row>
    <row r="305" spans="10:22" s="44" customFormat="1" ht="15.75" x14ac:dyDescent="0.25">
      <c r="J305" s="24"/>
      <c r="K305" s="47"/>
      <c r="O305" s="46"/>
      <c r="P305" s="46"/>
      <c r="Q305" s="46"/>
      <c r="R305" s="46"/>
      <c r="S305" s="46"/>
      <c r="T305" s="46"/>
      <c r="U305" s="24"/>
      <c r="V305" s="24"/>
    </row>
    <row r="306" spans="10:22" s="44" customFormat="1" ht="15.75" x14ac:dyDescent="0.25">
      <c r="J306" s="24"/>
      <c r="K306" s="47"/>
      <c r="O306" s="46"/>
      <c r="P306" s="46"/>
      <c r="Q306" s="46"/>
      <c r="R306" s="46"/>
      <c r="S306" s="46"/>
      <c r="T306" s="46"/>
      <c r="U306" s="24"/>
      <c r="V306" s="24"/>
    </row>
    <row r="307" spans="10:22" s="44" customFormat="1" ht="15.75" x14ac:dyDescent="0.25">
      <c r="J307" s="24"/>
      <c r="K307" s="47"/>
      <c r="O307" s="46"/>
      <c r="P307" s="46"/>
      <c r="Q307" s="46"/>
      <c r="R307" s="46"/>
      <c r="S307" s="46"/>
      <c r="T307" s="46"/>
      <c r="U307" s="24"/>
      <c r="V307" s="24"/>
    </row>
    <row r="308" spans="10:22" s="44" customFormat="1" ht="15.75" x14ac:dyDescent="0.25">
      <c r="J308" s="24"/>
      <c r="K308" s="47"/>
      <c r="O308" s="46"/>
      <c r="P308" s="46"/>
      <c r="Q308" s="46"/>
      <c r="R308" s="46"/>
      <c r="S308" s="46"/>
      <c r="T308" s="46"/>
      <c r="U308" s="24"/>
      <c r="V308" s="24"/>
    </row>
    <row r="309" spans="10:22" s="44" customFormat="1" ht="15.75" x14ac:dyDescent="0.25">
      <c r="J309" s="24"/>
      <c r="K309" s="47"/>
      <c r="O309" s="46"/>
      <c r="P309" s="46"/>
      <c r="Q309" s="46"/>
      <c r="R309" s="46"/>
      <c r="S309" s="46"/>
      <c r="T309" s="46"/>
      <c r="U309" s="24"/>
      <c r="V309" s="24"/>
    </row>
    <row r="310" spans="10:22" s="44" customFormat="1" ht="15.75" x14ac:dyDescent="0.25">
      <c r="J310" s="24"/>
      <c r="K310" s="47"/>
      <c r="O310" s="46"/>
      <c r="P310" s="46"/>
      <c r="Q310" s="46"/>
      <c r="R310" s="46"/>
      <c r="S310" s="46"/>
      <c r="T310" s="46"/>
      <c r="U310" s="24"/>
      <c r="V310" s="24"/>
    </row>
    <row r="311" spans="10:22" s="44" customFormat="1" ht="15.75" x14ac:dyDescent="0.25">
      <c r="J311" s="24"/>
      <c r="K311" s="47"/>
      <c r="O311" s="46"/>
      <c r="P311" s="46"/>
      <c r="Q311" s="46"/>
      <c r="R311" s="46"/>
      <c r="S311" s="46"/>
      <c r="T311" s="46"/>
      <c r="U311" s="24"/>
      <c r="V311" s="24"/>
    </row>
    <row r="312" spans="10:22" s="44" customFormat="1" ht="15.75" x14ac:dyDescent="0.25">
      <c r="J312" s="24"/>
      <c r="K312" s="47"/>
      <c r="O312" s="46"/>
      <c r="P312" s="46"/>
      <c r="Q312" s="46"/>
      <c r="R312" s="46"/>
      <c r="S312" s="46"/>
      <c r="T312" s="46"/>
      <c r="U312" s="24"/>
      <c r="V312" s="24"/>
    </row>
    <row r="313" spans="10:22" s="44" customFormat="1" ht="15.75" x14ac:dyDescent="0.25">
      <c r="J313" s="24"/>
      <c r="K313" s="47"/>
      <c r="O313" s="46"/>
      <c r="P313" s="46"/>
      <c r="Q313" s="46"/>
      <c r="R313" s="46"/>
      <c r="S313" s="46"/>
      <c r="T313" s="46"/>
      <c r="U313" s="24"/>
      <c r="V313" s="24"/>
    </row>
    <row r="314" spans="10:22" s="44" customFormat="1" ht="15.75" x14ac:dyDescent="0.25">
      <c r="J314" s="24"/>
      <c r="K314" s="47"/>
      <c r="O314" s="46"/>
      <c r="P314" s="46"/>
      <c r="Q314" s="46"/>
      <c r="R314" s="46"/>
      <c r="S314" s="46"/>
      <c r="T314" s="46"/>
      <c r="U314" s="24"/>
      <c r="V314" s="24"/>
    </row>
    <row r="315" spans="10:22" s="44" customFormat="1" ht="15.75" x14ac:dyDescent="0.25">
      <c r="J315" s="24"/>
      <c r="O315" s="46"/>
      <c r="P315" s="46"/>
      <c r="Q315" s="46"/>
      <c r="R315" s="46"/>
      <c r="S315" s="46"/>
      <c r="T315" s="46"/>
      <c r="U315" s="24"/>
      <c r="V315" s="24"/>
    </row>
    <row r="316" spans="10:22" s="44" customFormat="1" ht="15.75" x14ac:dyDescent="0.25">
      <c r="J316" s="24"/>
      <c r="O316" s="46"/>
      <c r="P316" s="46"/>
      <c r="Q316" s="46"/>
      <c r="R316" s="46"/>
      <c r="S316" s="46"/>
      <c r="T316" s="46"/>
      <c r="U316" s="24"/>
      <c r="V316" s="24"/>
    </row>
    <row r="317" spans="10:22" s="44" customFormat="1" ht="15.75" x14ac:dyDescent="0.25">
      <c r="J317" s="24"/>
      <c r="O317" s="46"/>
      <c r="P317" s="46"/>
      <c r="Q317" s="46"/>
      <c r="R317" s="46"/>
      <c r="S317" s="46"/>
      <c r="T317" s="46"/>
      <c r="U317" s="24"/>
      <c r="V317" s="24"/>
    </row>
    <row r="318" spans="10:22" s="44" customFormat="1" ht="15.75" x14ac:dyDescent="0.25">
      <c r="J318" s="24"/>
      <c r="O318" s="46"/>
      <c r="P318" s="46"/>
      <c r="Q318" s="46"/>
      <c r="R318" s="46"/>
      <c r="S318" s="46"/>
      <c r="T318" s="46"/>
      <c r="U318" s="24"/>
      <c r="V318" s="24"/>
    </row>
    <row r="319" spans="10:22" s="44" customFormat="1" ht="15.75" x14ac:dyDescent="0.25">
      <c r="J319" s="24"/>
      <c r="O319" s="46"/>
      <c r="P319" s="46"/>
      <c r="Q319" s="46"/>
      <c r="R319" s="46"/>
      <c r="S319" s="46"/>
      <c r="T319" s="46"/>
      <c r="U319" s="24"/>
      <c r="V319" s="24"/>
    </row>
    <row r="320" spans="10:22" s="44" customFormat="1" ht="15.75" x14ac:dyDescent="0.25">
      <c r="J320" s="24"/>
      <c r="O320" s="46"/>
      <c r="P320" s="46"/>
      <c r="Q320" s="46"/>
      <c r="R320" s="46"/>
      <c r="S320" s="46"/>
      <c r="T320" s="46"/>
      <c r="U320" s="24"/>
      <c r="V320" s="24"/>
    </row>
    <row r="321" spans="10:22" s="44" customFormat="1" ht="15.75" x14ac:dyDescent="0.25">
      <c r="J321" s="24"/>
      <c r="O321" s="46"/>
      <c r="P321" s="46"/>
      <c r="Q321" s="46"/>
      <c r="R321" s="46"/>
      <c r="S321" s="46"/>
      <c r="T321" s="46"/>
      <c r="U321" s="24"/>
      <c r="V321" s="24"/>
    </row>
    <row r="322" spans="10:22" s="44" customFormat="1" ht="15.75" x14ac:dyDescent="0.25">
      <c r="J322" s="24"/>
      <c r="O322" s="46"/>
      <c r="P322" s="46"/>
      <c r="Q322" s="46"/>
      <c r="R322" s="46"/>
      <c r="S322" s="46"/>
      <c r="T322" s="46"/>
      <c r="U322" s="24"/>
      <c r="V322" s="24"/>
    </row>
    <row r="323" spans="10:22" s="44" customFormat="1" ht="15.75" x14ac:dyDescent="0.25">
      <c r="J323" s="24"/>
      <c r="O323" s="46"/>
      <c r="P323" s="46"/>
      <c r="Q323" s="46"/>
      <c r="R323" s="46"/>
      <c r="S323" s="46"/>
      <c r="T323" s="46"/>
      <c r="U323" s="24"/>
      <c r="V323" s="24"/>
    </row>
    <row r="324" spans="10:22" s="44" customFormat="1" ht="15.75" x14ac:dyDescent="0.25">
      <c r="J324" s="24"/>
      <c r="O324" s="46"/>
      <c r="P324" s="46"/>
      <c r="Q324" s="46"/>
      <c r="R324" s="46"/>
      <c r="S324" s="46"/>
      <c r="T324" s="46"/>
      <c r="U324" s="24"/>
      <c r="V324" s="24"/>
    </row>
    <row r="325" spans="10:22" s="44" customFormat="1" ht="15.75" x14ac:dyDescent="0.25">
      <c r="J325" s="24"/>
      <c r="O325" s="46"/>
      <c r="P325" s="46"/>
      <c r="Q325" s="46"/>
      <c r="R325" s="46"/>
      <c r="S325" s="46"/>
      <c r="T325" s="46"/>
      <c r="U325" s="24"/>
      <c r="V325" s="24"/>
    </row>
    <row r="326" spans="10:22" s="44" customFormat="1" ht="15.75" x14ac:dyDescent="0.25">
      <c r="J326" s="24"/>
      <c r="O326" s="46"/>
      <c r="P326" s="46"/>
      <c r="Q326" s="46"/>
      <c r="R326" s="46"/>
      <c r="S326" s="46"/>
      <c r="T326" s="46"/>
      <c r="U326" s="24"/>
      <c r="V326" s="24"/>
    </row>
    <row r="327" spans="10:22" s="44" customFormat="1" ht="15.75" x14ac:dyDescent="0.25">
      <c r="J327" s="24"/>
      <c r="O327" s="46"/>
      <c r="P327" s="46"/>
      <c r="Q327" s="46"/>
      <c r="R327" s="46"/>
      <c r="S327" s="46"/>
      <c r="T327" s="46"/>
      <c r="U327" s="24"/>
      <c r="V327" s="24"/>
    </row>
    <row r="328" spans="10:22" s="44" customFormat="1" ht="15.75" x14ac:dyDescent="0.25">
      <c r="J328" s="24"/>
      <c r="O328" s="46"/>
      <c r="P328" s="46"/>
      <c r="Q328" s="46"/>
      <c r="R328" s="46"/>
      <c r="S328" s="46"/>
      <c r="T328" s="46"/>
      <c r="U328" s="24"/>
      <c r="V328" s="24"/>
    </row>
    <row r="329" spans="10:22" s="44" customFormat="1" ht="15.75" x14ac:dyDescent="0.25">
      <c r="J329" s="24"/>
      <c r="O329" s="46"/>
      <c r="P329" s="46"/>
      <c r="Q329" s="46"/>
      <c r="R329" s="46"/>
      <c r="S329" s="46"/>
      <c r="T329" s="46"/>
      <c r="U329" s="24"/>
      <c r="V329" s="24"/>
    </row>
    <row r="330" spans="10:22" s="44" customFormat="1" ht="15.75" x14ac:dyDescent="0.25">
      <c r="J330" s="24"/>
      <c r="O330" s="46"/>
      <c r="P330" s="46"/>
      <c r="Q330" s="46"/>
      <c r="R330" s="46"/>
      <c r="S330" s="46"/>
      <c r="T330" s="46"/>
      <c r="U330" s="24"/>
      <c r="V330" s="24"/>
    </row>
    <row r="331" spans="10:22" s="44" customFormat="1" ht="15.75" x14ac:dyDescent="0.25">
      <c r="J331" s="24"/>
      <c r="O331" s="46"/>
      <c r="P331" s="46"/>
      <c r="Q331" s="46"/>
      <c r="R331" s="46"/>
      <c r="S331" s="46"/>
      <c r="T331" s="46"/>
      <c r="U331" s="24"/>
      <c r="V331" s="24"/>
    </row>
    <row r="332" spans="10:22" s="44" customFormat="1" ht="15.75" x14ac:dyDescent="0.25">
      <c r="J332" s="24"/>
      <c r="O332" s="46"/>
      <c r="P332" s="46"/>
      <c r="Q332" s="46"/>
      <c r="R332" s="46"/>
      <c r="S332" s="46"/>
      <c r="T332" s="46"/>
      <c r="U332" s="24"/>
      <c r="V332" s="24"/>
    </row>
    <row r="333" spans="10:22" s="44" customFormat="1" ht="15.75" x14ac:dyDescent="0.25">
      <c r="J333" s="24"/>
      <c r="O333" s="46"/>
      <c r="P333" s="46"/>
      <c r="Q333" s="46"/>
      <c r="R333" s="46"/>
      <c r="S333" s="46"/>
      <c r="T333" s="46"/>
      <c r="U333" s="24"/>
      <c r="V333" s="24"/>
    </row>
    <row r="334" spans="10:22" s="44" customFormat="1" ht="15.75" x14ac:dyDescent="0.25">
      <c r="J334" s="24"/>
      <c r="O334" s="46"/>
      <c r="P334" s="46"/>
      <c r="Q334" s="46"/>
      <c r="R334" s="46"/>
      <c r="S334" s="46"/>
      <c r="T334" s="46"/>
      <c r="U334" s="24"/>
      <c r="V334" s="24"/>
    </row>
    <row r="335" spans="10:22" s="44" customFormat="1" ht="15.75" x14ac:dyDescent="0.25">
      <c r="J335" s="24"/>
      <c r="O335" s="46"/>
      <c r="P335" s="46"/>
      <c r="Q335" s="46"/>
      <c r="R335" s="46"/>
      <c r="S335" s="46"/>
      <c r="T335" s="46"/>
      <c r="U335" s="24"/>
      <c r="V335" s="24"/>
    </row>
    <row r="336" spans="10:22" s="44" customFormat="1" ht="15.75" x14ac:dyDescent="0.25">
      <c r="J336" s="24"/>
      <c r="O336" s="46"/>
      <c r="P336" s="46"/>
      <c r="Q336" s="46"/>
      <c r="R336" s="46"/>
      <c r="S336" s="46"/>
      <c r="T336" s="46"/>
      <c r="U336" s="24"/>
      <c r="V336" s="24"/>
    </row>
    <row r="337" spans="10:22" s="44" customFormat="1" ht="15.75" x14ac:dyDescent="0.25">
      <c r="J337" s="24"/>
      <c r="O337" s="46"/>
      <c r="P337" s="46"/>
      <c r="Q337" s="46"/>
      <c r="R337" s="46"/>
      <c r="S337" s="46"/>
      <c r="T337" s="46"/>
      <c r="U337" s="24"/>
      <c r="V337" s="24"/>
    </row>
    <row r="338" spans="10:22" s="44" customFormat="1" ht="15.75" x14ac:dyDescent="0.25">
      <c r="J338" s="24"/>
      <c r="O338" s="46"/>
      <c r="P338" s="46"/>
      <c r="Q338" s="46"/>
      <c r="R338" s="46"/>
      <c r="S338" s="46"/>
      <c r="T338" s="46"/>
      <c r="U338" s="24"/>
      <c r="V338" s="24"/>
    </row>
    <row r="339" spans="10:22" s="44" customFormat="1" ht="15.75" x14ac:dyDescent="0.25">
      <c r="J339" s="24"/>
      <c r="O339" s="46"/>
      <c r="P339" s="46"/>
      <c r="Q339" s="46"/>
      <c r="R339" s="46"/>
      <c r="S339" s="46"/>
      <c r="T339" s="46"/>
      <c r="U339" s="24"/>
      <c r="V339" s="24"/>
    </row>
    <row r="340" spans="10:22" s="44" customFormat="1" ht="15.75" x14ac:dyDescent="0.25">
      <c r="J340" s="24"/>
      <c r="O340" s="46"/>
      <c r="P340" s="46"/>
      <c r="Q340" s="46"/>
      <c r="R340" s="46"/>
      <c r="S340" s="46"/>
      <c r="T340" s="46"/>
      <c r="U340" s="24"/>
      <c r="V340" s="24"/>
    </row>
    <row r="341" spans="10:22" s="44" customFormat="1" ht="15.75" x14ac:dyDescent="0.25">
      <c r="J341" s="24"/>
      <c r="O341" s="46"/>
      <c r="P341" s="46"/>
      <c r="Q341" s="46"/>
      <c r="R341" s="46"/>
      <c r="S341" s="46"/>
      <c r="T341" s="46"/>
      <c r="U341" s="24"/>
      <c r="V341" s="24"/>
    </row>
    <row r="342" spans="10:22" s="44" customFormat="1" ht="15.75" x14ac:dyDescent="0.25">
      <c r="J342" s="24"/>
      <c r="O342" s="46"/>
      <c r="P342" s="46"/>
      <c r="Q342" s="46"/>
      <c r="R342" s="46"/>
      <c r="S342" s="46"/>
      <c r="T342" s="46"/>
      <c r="U342" s="24"/>
      <c r="V342" s="24"/>
    </row>
    <row r="343" spans="10:22" s="44" customFormat="1" ht="15.75" x14ac:dyDescent="0.25">
      <c r="J343" s="24"/>
      <c r="O343" s="46"/>
      <c r="P343" s="46"/>
      <c r="Q343" s="46"/>
      <c r="R343" s="46"/>
      <c r="S343" s="46"/>
      <c r="T343" s="46"/>
      <c r="U343" s="24"/>
      <c r="V343" s="24"/>
    </row>
    <row r="344" spans="10:22" s="44" customFormat="1" ht="15.75" x14ac:dyDescent="0.25">
      <c r="J344" s="24"/>
      <c r="O344" s="46"/>
      <c r="P344" s="46"/>
      <c r="Q344" s="46"/>
      <c r="R344" s="46"/>
      <c r="S344" s="46"/>
      <c r="T344" s="46"/>
      <c r="U344" s="24"/>
      <c r="V344" s="24"/>
    </row>
    <row r="345" spans="10:22" s="44" customFormat="1" ht="15.75" x14ac:dyDescent="0.25">
      <c r="J345" s="24"/>
      <c r="O345" s="46"/>
      <c r="P345" s="46"/>
      <c r="Q345" s="46"/>
      <c r="R345" s="46"/>
      <c r="S345" s="46"/>
      <c r="T345" s="46"/>
      <c r="U345" s="24"/>
      <c r="V345" s="24"/>
    </row>
    <row r="346" spans="10:22" s="44" customFormat="1" ht="15.75" x14ac:dyDescent="0.25">
      <c r="J346" s="24"/>
      <c r="O346" s="46"/>
      <c r="P346" s="46"/>
      <c r="Q346" s="46"/>
      <c r="R346" s="46"/>
      <c r="S346" s="46"/>
      <c r="T346" s="46"/>
      <c r="U346" s="24"/>
      <c r="V346" s="24"/>
    </row>
    <row r="347" spans="10:22" s="44" customFormat="1" ht="15.75" x14ac:dyDescent="0.25">
      <c r="J347" s="24"/>
      <c r="O347" s="46"/>
      <c r="P347" s="46"/>
      <c r="Q347" s="46"/>
      <c r="R347" s="46"/>
      <c r="S347" s="46"/>
      <c r="T347" s="46"/>
      <c r="U347" s="24"/>
      <c r="V347" s="24"/>
    </row>
    <row r="348" spans="10:22" s="44" customFormat="1" ht="15.75" x14ac:dyDescent="0.25">
      <c r="J348" s="24"/>
      <c r="O348" s="46"/>
      <c r="P348" s="46"/>
      <c r="Q348" s="46"/>
      <c r="R348" s="46"/>
      <c r="S348" s="46"/>
      <c r="T348" s="46"/>
      <c r="U348" s="24"/>
      <c r="V348" s="24"/>
    </row>
    <row r="349" spans="10:22" s="44" customFormat="1" ht="15.75" x14ac:dyDescent="0.25">
      <c r="J349" s="24"/>
      <c r="O349" s="46"/>
      <c r="P349" s="46"/>
      <c r="Q349" s="46"/>
      <c r="R349" s="46"/>
      <c r="S349" s="46"/>
      <c r="T349" s="46"/>
      <c r="U349" s="24"/>
      <c r="V349" s="24"/>
    </row>
    <row r="350" spans="10:22" s="44" customFormat="1" ht="15.75" x14ac:dyDescent="0.25">
      <c r="J350" s="24"/>
      <c r="O350" s="46"/>
      <c r="P350" s="46"/>
      <c r="Q350" s="46"/>
      <c r="R350" s="46"/>
      <c r="S350" s="46"/>
      <c r="T350" s="46"/>
      <c r="U350" s="24"/>
      <c r="V350" s="24"/>
    </row>
    <row r="351" spans="10:22" s="44" customFormat="1" ht="15.75" x14ac:dyDescent="0.25">
      <c r="J351" s="24"/>
      <c r="O351" s="46"/>
      <c r="P351" s="46"/>
      <c r="Q351" s="46"/>
      <c r="R351" s="46"/>
      <c r="S351" s="46"/>
      <c r="T351" s="46"/>
      <c r="U351" s="24"/>
      <c r="V351" s="24"/>
    </row>
    <row r="352" spans="10:22" s="44" customFormat="1" ht="15.75" x14ac:dyDescent="0.25">
      <c r="J352" s="24"/>
      <c r="O352" s="24"/>
      <c r="P352" s="24"/>
      <c r="Q352" s="24"/>
      <c r="R352" s="24"/>
      <c r="S352" s="24"/>
      <c r="T352" s="24"/>
      <c r="U352" s="24"/>
      <c r="V352" s="24"/>
    </row>
    <row r="353" spans="10:22" s="44" customFormat="1" ht="15.75" x14ac:dyDescent="0.25">
      <c r="J353" s="24"/>
      <c r="O353" s="24"/>
      <c r="P353" s="24"/>
      <c r="Q353" s="24"/>
      <c r="R353" s="24"/>
      <c r="S353" s="24"/>
      <c r="T353" s="24"/>
      <c r="U353" s="24"/>
      <c r="V353" s="24"/>
    </row>
    <row r="354" spans="10:22" s="44" customFormat="1" ht="15.75" x14ac:dyDescent="0.25">
      <c r="J354" s="24"/>
      <c r="O354" s="24"/>
      <c r="P354" s="24"/>
      <c r="Q354" s="24"/>
      <c r="R354" s="24"/>
      <c r="S354" s="24"/>
      <c r="T354" s="24"/>
      <c r="U354" s="24"/>
      <c r="V354" s="24"/>
    </row>
    <row r="355" spans="10:22" s="44" customFormat="1" ht="15.75" x14ac:dyDescent="0.25">
      <c r="J355" s="24"/>
      <c r="O355" s="24"/>
      <c r="P355" s="24"/>
      <c r="Q355" s="24"/>
      <c r="R355" s="24"/>
      <c r="S355" s="24"/>
      <c r="T355" s="24"/>
      <c r="U355" s="24"/>
      <c r="V355" s="2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7CE5-4DE7-4485-924C-0E779858AE1C}">
  <sheetPr>
    <pageSetUpPr fitToPage="1"/>
  </sheetPr>
  <dimension ref="B1:N42"/>
  <sheetViews>
    <sheetView tabSelected="1" zoomScaleNormal="100" zoomScaleSheetLayoutView="100" workbookViewId="0"/>
  </sheetViews>
  <sheetFormatPr defaultRowHeight="15" x14ac:dyDescent="0.25"/>
  <cols>
    <col min="1" max="1" width="3.7109375" customWidth="1"/>
    <col min="2" max="2" width="7.7109375" bestFit="1" customWidth="1"/>
    <col min="3" max="3" width="5.5703125" bestFit="1" customWidth="1"/>
    <col min="4" max="4" width="16.85546875" bestFit="1" customWidth="1"/>
    <col min="5" max="6" width="15.7109375" bestFit="1" customWidth="1"/>
    <col min="7" max="7" width="13.7109375" customWidth="1"/>
    <col min="8" max="8" width="16.85546875" bestFit="1" customWidth="1"/>
    <col min="9" max="10" width="3.7109375" customWidth="1"/>
    <col min="11" max="11" width="14" bestFit="1" customWidth="1"/>
    <col min="12" max="12" width="6.5703125" bestFit="1" customWidth="1"/>
    <col min="14" max="14" width="13.28515625" bestFit="1" customWidth="1"/>
  </cols>
  <sheetData>
    <row r="1" spans="2:12" ht="15.75" x14ac:dyDescent="0.25">
      <c r="B1" s="365"/>
      <c r="I1" s="23" t="s">
        <v>775</v>
      </c>
      <c r="J1" s="23"/>
      <c r="K1" s="347"/>
    </row>
    <row r="2" spans="2:12" ht="15.75" x14ac:dyDescent="0.25">
      <c r="I2" s="23" t="s">
        <v>325</v>
      </c>
      <c r="J2" s="23"/>
    </row>
    <row r="3" spans="2:12" x14ac:dyDescent="0.25">
      <c r="H3" s="21"/>
    </row>
    <row r="4" spans="2:12" ht="17.25" x14ac:dyDescent="0.3">
      <c r="B4" s="57" t="s">
        <v>0</v>
      </c>
      <c r="C4" s="57"/>
      <c r="D4" s="50"/>
      <c r="E4" s="50"/>
      <c r="F4" s="50"/>
      <c r="G4" s="50"/>
      <c r="H4" s="50"/>
    </row>
    <row r="5" spans="2:12" ht="15.75" x14ac:dyDescent="0.25">
      <c r="B5" s="51" t="s">
        <v>729</v>
      </c>
      <c r="C5" s="51"/>
      <c r="D5" s="50"/>
      <c r="E5" s="50"/>
      <c r="F5" s="50"/>
      <c r="G5" s="50"/>
      <c r="H5" s="50"/>
    </row>
    <row r="6" spans="2:12" ht="15.75" x14ac:dyDescent="0.25">
      <c r="B6" s="51" t="s">
        <v>730</v>
      </c>
      <c r="C6" s="51"/>
      <c r="D6" s="50"/>
      <c r="E6" s="50"/>
      <c r="F6" s="50"/>
      <c r="G6" s="50"/>
      <c r="H6" s="50"/>
    </row>
    <row r="8" spans="2:12" hidden="1" x14ac:dyDescent="0.25"/>
    <row r="9" spans="2:12" ht="15.75" hidden="1" x14ac:dyDescent="0.25">
      <c r="B9" s="24"/>
      <c r="C9" s="24"/>
      <c r="D9" s="24"/>
      <c r="E9" s="24"/>
      <c r="F9" s="24"/>
      <c r="G9" s="24"/>
      <c r="H9" s="24" t="s">
        <v>15</v>
      </c>
    </row>
    <row r="10" spans="2:12" ht="15.75" hidden="1" x14ac:dyDescent="0.25">
      <c r="B10" s="24"/>
      <c r="C10" s="24"/>
      <c r="D10" s="24" t="s">
        <v>16</v>
      </c>
      <c r="E10" s="24" t="s">
        <v>17</v>
      </c>
      <c r="F10" s="24" t="s">
        <v>18</v>
      </c>
      <c r="G10" s="24" t="s">
        <v>19</v>
      </c>
      <c r="H10" s="24" t="s">
        <v>731</v>
      </c>
    </row>
    <row r="11" spans="2:12" ht="15.75" hidden="1" x14ac:dyDescent="0.25">
      <c r="B11" s="25" t="s">
        <v>21</v>
      </c>
      <c r="C11" s="25" t="s">
        <v>339</v>
      </c>
      <c r="D11" s="25" t="s">
        <v>22</v>
      </c>
      <c r="E11" s="25" t="s">
        <v>22</v>
      </c>
      <c r="F11" s="25" t="s">
        <v>22</v>
      </c>
      <c r="G11" s="25" t="s">
        <v>23</v>
      </c>
      <c r="H11" s="25" t="s">
        <v>24</v>
      </c>
      <c r="K11" s="49" t="s">
        <v>338</v>
      </c>
      <c r="L11" s="49"/>
    </row>
    <row r="12" spans="2:12" ht="15.75" hidden="1" x14ac:dyDescent="0.25">
      <c r="B12" s="26" t="s">
        <v>73</v>
      </c>
      <c r="C12" s="153">
        <v>2024</v>
      </c>
      <c r="D12" s="66">
        <v>0</v>
      </c>
      <c r="E12" s="66">
        <v>0</v>
      </c>
      <c r="F12" s="66">
        <v>0</v>
      </c>
      <c r="G12" s="66">
        <v>0</v>
      </c>
      <c r="H12" s="66">
        <f t="shared" ref="H12:H17" si="0">SUM(D12:G12)</f>
        <v>0</v>
      </c>
      <c r="K12" s="120">
        <v>0</v>
      </c>
      <c r="L12" s="120">
        <f>+H12-K12</f>
        <v>0</v>
      </c>
    </row>
    <row r="13" spans="2:12" ht="15.75" hidden="1" x14ac:dyDescent="0.25">
      <c r="B13" s="26" t="s">
        <v>74</v>
      </c>
      <c r="C13" s="153">
        <v>2024</v>
      </c>
      <c r="D13" s="152">
        <v>0</v>
      </c>
      <c r="E13" s="152">
        <v>0</v>
      </c>
      <c r="F13" s="152">
        <v>0</v>
      </c>
      <c r="G13" s="152">
        <v>0</v>
      </c>
      <c r="H13" s="152">
        <f t="shared" si="0"/>
        <v>0</v>
      </c>
      <c r="K13" s="15">
        <v>0</v>
      </c>
      <c r="L13" s="15">
        <f t="shared" ref="L13:L24" si="1">+H13-K13</f>
        <v>0</v>
      </c>
    </row>
    <row r="14" spans="2:12" ht="15.75" hidden="1" x14ac:dyDescent="0.25">
      <c r="B14" s="26" t="s">
        <v>75</v>
      </c>
      <c r="C14" s="153">
        <v>2024</v>
      </c>
      <c r="D14" s="152">
        <v>0</v>
      </c>
      <c r="E14" s="152">
        <v>0</v>
      </c>
      <c r="F14" s="152">
        <v>0</v>
      </c>
      <c r="G14" s="152">
        <v>0</v>
      </c>
      <c r="H14" s="152">
        <f t="shared" si="0"/>
        <v>0</v>
      </c>
      <c r="K14" s="15">
        <v>0</v>
      </c>
      <c r="L14" s="15">
        <f t="shared" si="1"/>
        <v>0</v>
      </c>
    </row>
    <row r="15" spans="2:12" ht="15.75" hidden="1" x14ac:dyDescent="0.25">
      <c r="B15" s="26" t="s">
        <v>76</v>
      </c>
      <c r="C15" s="153">
        <v>2024</v>
      </c>
      <c r="D15" s="152">
        <v>0</v>
      </c>
      <c r="E15" s="152">
        <v>0</v>
      </c>
      <c r="F15" s="152">
        <v>0</v>
      </c>
      <c r="G15" s="152">
        <v>0</v>
      </c>
      <c r="H15" s="152">
        <f t="shared" si="0"/>
        <v>0</v>
      </c>
      <c r="K15" s="15">
        <v>0</v>
      </c>
      <c r="L15" s="15">
        <f t="shared" si="1"/>
        <v>0</v>
      </c>
    </row>
    <row r="16" spans="2:12" ht="15.75" hidden="1" x14ac:dyDescent="0.25">
      <c r="B16" s="26" t="s">
        <v>77</v>
      </c>
      <c r="C16" s="153">
        <v>2024</v>
      </c>
      <c r="D16" s="152">
        <v>0</v>
      </c>
      <c r="E16" s="152">
        <v>0</v>
      </c>
      <c r="F16" s="152">
        <v>0</v>
      </c>
      <c r="G16" s="152">
        <v>0</v>
      </c>
      <c r="H16" s="152">
        <f t="shared" si="0"/>
        <v>0</v>
      </c>
      <c r="K16" s="15">
        <v>0</v>
      </c>
      <c r="L16" s="15">
        <f t="shared" si="1"/>
        <v>0</v>
      </c>
    </row>
    <row r="17" spans="2:14" ht="15.75" hidden="1" x14ac:dyDescent="0.25">
      <c r="B17" s="26" t="s">
        <v>78</v>
      </c>
      <c r="C17" s="153">
        <v>2024</v>
      </c>
      <c r="D17" s="152">
        <v>0</v>
      </c>
      <c r="E17" s="152">
        <v>0</v>
      </c>
      <c r="F17" s="152">
        <v>0</v>
      </c>
      <c r="G17" s="152">
        <v>0</v>
      </c>
      <c r="H17" s="152">
        <f t="shared" si="0"/>
        <v>0</v>
      </c>
      <c r="K17" s="15">
        <v>0</v>
      </c>
      <c r="L17" s="15">
        <f t="shared" si="1"/>
        <v>0</v>
      </c>
    </row>
    <row r="18" spans="2:14" ht="15.75" hidden="1" x14ac:dyDescent="0.25">
      <c r="B18" s="26" t="s">
        <v>79</v>
      </c>
      <c r="C18" s="153">
        <v>2024</v>
      </c>
      <c r="D18" s="152">
        <v>0</v>
      </c>
      <c r="E18" s="152">
        <v>0</v>
      </c>
      <c r="F18" s="152">
        <v>0</v>
      </c>
      <c r="G18" s="152">
        <v>0</v>
      </c>
      <c r="H18" s="152">
        <f t="shared" ref="H18:H24" si="2">SUM(D18:G18)</f>
        <v>0</v>
      </c>
      <c r="K18" s="15">
        <v>0</v>
      </c>
      <c r="L18" s="15">
        <f t="shared" si="1"/>
        <v>0</v>
      </c>
    </row>
    <row r="19" spans="2:14" ht="15.75" hidden="1" x14ac:dyDescent="0.25">
      <c r="B19" s="26" t="s">
        <v>80</v>
      </c>
      <c r="C19" s="153">
        <v>2024</v>
      </c>
      <c r="D19" s="152">
        <v>0</v>
      </c>
      <c r="E19" s="152">
        <v>0</v>
      </c>
      <c r="F19" s="152">
        <v>0</v>
      </c>
      <c r="G19" s="152">
        <v>0</v>
      </c>
      <c r="H19" s="152">
        <f t="shared" si="2"/>
        <v>0</v>
      </c>
      <c r="K19" s="15">
        <v>0</v>
      </c>
      <c r="L19" s="15">
        <f t="shared" si="1"/>
        <v>0</v>
      </c>
    </row>
    <row r="20" spans="2:14" ht="15.75" hidden="1" x14ac:dyDescent="0.25">
      <c r="B20" s="26" t="s">
        <v>81</v>
      </c>
      <c r="C20" s="153">
        <v>2024</v>
      </c>
      <c r="D20" s="152">
        <v>0</v>
      </c>
      <c r="E20" s="152">
        <v>0</v>
      </c>
      <c r="F20" s="152">
        <v>0</v>
      </c>
      <c r="G20" s="152">
        <v>0</v>
      </c>
      <c r="H20" s="152">
        <f t="shared" si="2"/>
        <v>0</v>
      </c>
      <c r="K20" s="15">
        <v>0</v>
      </c>
      <c r="L20" s="15">
        <f t="shared" si="1"/>
        <v>0</v>
      </c>
    </row>
    <row r="21" spans="2:14" ht="15.75" hidden="1" x14ac:dyDescent="0.25">
      <c r="B21" s="26" t="s">
        <v>82</v>
      </c>
      <c r="C21" s="153">
        <v>2024</v>
      </c>
      <c r="D21" s="152">
        <v>0</v>
      </c>
      <c r="E21" s="152">
        <v>0</v>
      </c>
      <c r="F21" s="152">
        <v>0</v>
      </c>
      <c r="G21" s="152">
        <v>0</v>
      </c>
      <c r="H21" s="152">
        <f t="shared" si="2"/>
        <v>0</v>
      </c>
      <c r="K21" s="15">
        <v>0</v>
      </c>
      <c r="L21" s="15">
        <f t="shared" si="1"/>
        <v>0</v>
      </c>
    </row>
    <row r="22" spans="2:14" ht="15.75" hidden="1" x14ac:dyDescent="0.25">
      <c r="B22" s="26" t="s">
        <v>83</v>
      </c>
      <c r="C22" s="153">
        <v>2024</v>
      </c>
      <c r="D22" s="152">
        <v>0</v>
      </c>
      <c r="E22" s="152">
        <v>0</v>
      </c>
      <c r="F22" s="152">
        <v>0</v>
      </c>
      <c r="G22" s="152">
        <v>0</v>
      </c>
      <c r="H22" s="152">
        <f t="shared" si="2"/>
        <v>0</v>
      </c>
      <c r="K22" s="15">
        <v>0</v>
      </c>
      <c r="L22" s="15">
        <f t="shared" si="1"/>
        <v>0</v>
      </c>
    </row>
    <row r="23" spans="2:14" ht="15.75" hidden="1" x14ac:dyDescent="0.25">
      <c r="B23" s="26" t="s">
        <v>84</v>
      </c>
      <c r="C23" s="153">
        <v>2024</v>
      </c>
      <c r="D23" s="152">
        <v>0</v>
      </c>
      <c r="E23" s="152">
        <v>0</v>
      </c>
      <c r="F23" s="152">
        <v>0</v>
      </c>
      <c r="G23" s="152">
        <v>0</v>
      </c>
      <c r="H23" s="152">
        <f t="shared" si="2"/>
        <v>0</v>
      </c>
      <c r="K23" s="15">
        <v>0</v>
      </c>
      <c r="L23" s="15">
        <f t="shared" si="1"/>
        <v>0</v>
      </c>
    </row>
    <row r="24" spans="2:14" ht="16.5" hidden="1" thickBot="1" x14ac:dyDescent="0.3">
      <c r="B24" s="30" t="s">
        <v>340</v>
      </c>
      <c r="C24" s="30">
        <f>+C23</f>
        <v>2024</v>
      </c>
      <c r="D24" s="154">
        <f>SUM(D12:D23)</f>
        <v>0</v>
      </c>
      <c r="E24" s="154">
        <f>SUM(E12:E23)</f>
        <v>0</v>
      </c>
      <c r="F24" s="154">
        <f>SUM(F12:F23)</f>
        <v>0</v>
      </c>
      <c r="G24" s="154">
        <f>SUM(G12:G23)</f>
        <v>0</v>
      </c>
      <c r="H24" s="154">
        <f t="shared" si="2"/>
        <v>0</v>
      </c>
      <c r="K24" s="31">
        <f>SUM(K12:K23)</f>
        <v>0</v>
      </c>
      <c r="L24" s="31">
        <f t="shared" si="1"/>
        <v>0</v>
      </c>
    </row>
    <row r="25" spans="2:14" ht="15.75" hidden="1" thickTop="1" x14ac:dyDescent="0.25"/>
    <row r="26" spans="2:14" ht="15.75" x14ac:dyDescent="0.25">
      <c r="B26" s="24"/>
      <c r="C26" s="24"/>
      <c r="D26" s="24"/>
      <c r="E26" s="24"/>
      <c r="F26" s="24"/>
      <c r="G26" s="24"/>
      <c r="H26" s="24" t="s">
        <v>15</v>
      </c>
    </row>
    <row r="27" spans="2:14" ht="15.75" x14ac:dyDescent="0.25">
      <c r="B27" s="24"/>
      <c r="C27" s="24"/>
      <c r="D27" s="24" t="s">
        <v>16</v>
      </c>
      <c r="E27" s="24" t="s">
        <v>17</v>
      </c>
      <c r="F27" s="24" t="s">
        <v>18</v>
      </c>
      <c r="G27" s="24" t="s">
        <v>19</v>
      </c>
      <c r="H27" s="24" t="s">
        <v>731</v>
      </c>
    </row>
    <row r="28" spans="2:14" ht="15.75" x14ac:dyDescent="0.25">
      <c r="B28" s="25" t="s">
        <v>21</v>
      </c>
      <c r="C28" s="25" t="s">
        <v>339</v>
      </c>
      <c r="D28" s="25" t="s">
        <v>22</v>
      </c>
      <c r="E28" s="25" t="s">
        <v>22</v>
      </c>
      <c r="F28" s="25" t="s">
        <v>22</v>
      </c>
      <c r="G28" s="25" t="s">
        <v>23</v>
      </c>
      <c r="H28" s="25" t="s">
        <v>24</v>
      </c>
      <c r="K28" s="49" t="s">
        <v>338</v>
      </c>
      <c r="L28" s="49"/>
    </row>
    <row r="29" spans="2:14" ht="15.75" x14ac:dyDescent="0.25">
      <c r="B29" s="26" t="s">
        <v>73</v>
      </c>
      <c r="C29" s="153">
        <v>2025</v>
      </c>
      <c r="D29" s="66">
        <v>437916.65</v>
      </c>
      <c r="E29" s="66">
        <v>339079.04</v>
      </c>
      <c r="F29" s="66">
        <v>63186.33</v>
      </c>
      <c r="G29" s="66">
        <v>4644.34</v>
      </c>
      <c r="H29" s="66">
        <f t="shared" ref="H29:H34" si="3">SUM(D29:G29)</f>
        <v>844826.35999999987</v>
      </c>
      <c r="K29" s="348">
        <v>844826.36</v>
      </c>
      <c r="L29" s="14">
        <f>+H29-K29</f>
        <v>0</v>
      </c>
      <c r="N29" s="228"/>
    </row>
    <row r="30" spans="2:14" ht="15.75" x14ac:dyDescent="0.25">
      <c r="B30" s="26" t="s">
        <v>74</v>
      </c>
      <c r="C30" s="153">
        <v>2025</v>
      </c>
      <c r="D30" s="152">
        <f>1081748.18-0.01</f>
        <v>1081748.17</v>
      </c>
      <c r="E30" s="152">
        <v>860919.17</v>
      </c>
      <c r="F30" s="152">
        <v>179895.38</v>
      </c>
      <c r="G30" s="152">
        <v>9287.1200000000008</v>
      </c>
      <c r="H30" s="152">
        <f t="shared" si="3"/>
        <v>2131849.84</v>
      </c>
      <c r="K30" s="348">
        <v>2131849.84</v>
      </c>
      <c r="L30" s="14">
        <f t="shared" ref="L30:L41" si="4">+H30-K30</f>
        <v>0</v>
      </c>
      <c r="N30" s="228"/>
    </row>
    <row r="31" spans="2:14" ht="15.75" x14ac:dyDescent="0.25">
      <c r="B31" s="26" t="s">
        <v>75</v>
      </c>
      <c r="C31" s="153">
        <v>2025</v>
      </c>
      <c r="D31" s="152">
        <v>930288.44</v>
      </c>
      <c r="E31" s="152">
        <v>836766.7</v>
      </c>
      <c r="F31" s="152">
        <v>186138.19</v>
      </c>
      <c r="G31" s="152">
        <v>9370.92</v>
      </c>
      <c r="H31" s="152">
        <f t="shared" si="3"/>
        <v>1962564.2499999998</v>
      </c>
      <c r="K31" s="348">
        <v>1962564.25</v>
      </c>
      <c r="L31" s="14">
        <f t="shared" si="4"/>
        <v>0</v>
      </c>
      <c r="N31" s="228"/>
    </row>
    <row r="32" spans="2:14" ht="15.75" x14ac:dyDescent="0.25">
      <c r="B32" s="26" t="s">
        <v>76</v>
      </c>
      <c r="C32" s="153">
        <v>2025</v>
      </c>
      <c r="D32" s="152">
        <v>794838.07</v>
      </c>
      <c r="E32" s="152">
        <v>812085.12</v>
      </c>
      <c r="F32" s="152">
        <v>175309.76</v>
      </c>
      <c r="G32" s="152">
        <v>9339.7000000000007</v>
      </c>
      <c r="H32" s="152">
        <f t="shared" si="3"/>
        <v>1791572.65</v>
      </c>
      <c r="K32" s="348">
        <v>1791572.65</v>
      </c>
      <c r="L32" s="14">
        <f t="shared" si="4"/>
        <v>0</v>
      </c>
    </row>
    <row r="33" spans="2:12" ht="15.75" x14ac:dyDescent="0.25">
      <c r="B33" s="26" t="s">
        <v>77</v>
      </c>
      <c r="C33" s="153">
        <v>2025</v>
      </c>
      <c r="D33" s="377">
        <v>758664.32</v>
      </c>
      <c r="E33" s="377">
        <v>776652.69</v>
      </c>
      <c r="F33" s="377">
        <v>176988.53</v>
      </c>
      <c r="G33" s="377">
        <v>8502.33</v>
      </c>
      <c r="H33" s="377">
        <f t="shared" si="3"/>
        <v>1720807.8699999999</v>
      </c>
      <c r="K33" s="348">
        <v>1720807.8699999999</v>
      </c>
      <c r="L33" s="14">
        <f t="shared" si="4"/>
        <v>0</v>
      </c>
    </row>
    <row r="34" spans="2:12" ht="15.75" x14ac:dyDescent="0.25">
      <c r="B34" s="26" t="s">
        <v>78</v>
      </c>
      <c r="C34" s="153">
        <v>2025</v>
      </c>
      <c r="D34" s="377">
        <v>909576</v>
      </c>
      <c r="E34" s="377">
        <v>830966</v>
      </c>
      <c r="F34" s="377">
        <v>192992.48</v>
      </c>
      <c r="G34" s="377">
        <v>10195.450000000001</v>
      </c>
      <c r="H34" s="377">
        <f t="shared" si="3"/>
        <v>1943729.93</v>
      </c>
      <c r="K34" s="348">
        <v>1943729.93</v>
      </c>
      <c r="L34" s="14">
        <f t="shared" si="4"/>
        <v>0</v>
      </c>
    </row>
    <row r="35" spans="2:12" ht="15.75" x14ac:dyDescent="0.25">
      <c r="B35" s="26" t="s">
        <v>79</v>
      </c>
      <c r="C35" s="153">
        <v>2025</v>
      </c>
      <c r="D35" s="377">
        <v>1514210.1</v>
      </c>
      <c r="E35" s="377">
        <v>999272.07</v>
      </c>
      <c r="F35" s="377">
        <v>189188.75</v>
      </c>
      <c r="G35" s="377">
        <v>9355.67</v>
      </c>
      <c r="H35" s="377">
        <f t="shared" ref="H35:H41" si="5">SUM(D35:G35)</f>
        <v>2712026.59</v>
      </c>
      <c r="K35" s="348">
        <v>2712026.59</v>
      </c>
      <c r="L35" s="14">
        <f t="shared" si="4"/>
        <v>0</v>
      </c>
    </row>
    <row r="36" spans="2:12" ht="15.75" x14ac:dyDescent="0.25">
      <c r="B36" s="26" t="s">
        <v>80</v>
      </c>
      <c r="C36" s="153">
        <v>2025</v>
      </c>
      <c r="D36" s="377">
        <v>1573079.76</v>
      </c>
      <c r="E36" s="377">
        <v>1000248.02</v>
      </c>
      <c r="F36" s="377">
        <v>193077.04</v>
      </c>
      <c r="G36" s="377">
        <v>9208.7000000000007</v>
      </c>
      <c r="H36" s="377">
        <f t="shared" si="5"/>
        <v>2775613.5200000005</v>
      </c>
      <c r="K36" s="348">
        <v>2775613.5200000005</v>
      </c>
      <c r="L36" s="14">
        <f t="shared" si="4"/>
        <v>0</v>
      </c>
    </row>
    <row r="37" spans="2:12" ht="15.75" x14ac:dyDescent="0.25">
      <c r="B37" s="26" t="s">
        <v>81</v>
      </c>
      <c r="C37" s="153">
        <v>2025</v>
      </c>
      <c r="D37" s="377">
        <v>1330867.92</v>
      </c>
      <c r="E37" s="377">
        <v>969228.2</v>
      </c>
      <c r="F37" s="377">
        <v>181408.42</v>
      </c>
      <c r="G37" s="377">
        <v>9303.7099999999991</v>
      </c>
      <c r="H37" s="377">
        <f t="shared" si="5"/>
        <v>2490808.25</v>
      </c>
      <c r="K37" s="348">
        <v>2490808.25</v>
      </c>
      <c r="L37" s="14">
        <f t="shared" si="4"/>
        <v>0</v>
      </c>
    </row>
    <row r="38" spans="2:12" ht="15.75" x14ac:dyDescent="0.25">
      <c r="B38" s="26" t="s">
        <v>82</v>
      </c>
      <c r="C38" s="153">
        <v>2025</v>
      </c>
      <c r="D38" s="377">
        <v>755059.92</v>
      </c>
      <c r="E38" s="377">
        <v>816073.75</v>
      </c>
      <c r="F38" s="377">
        <v>169998.37</v>
      </c>
      <c r="G38" s="377">
        <v>9294.14</v>
      </c>
      <c r="H38" s="377">
        <f t="shared" si="5"/>
        <v>1750426.18</v>
      </c>
      <c r="K38" s="348">
        <v>1750426.18</v>
      </c>
      <c r="L38" s="14">
        <f t="shared" si="4"/>
        <v>0</v>
      </c>
    </row>
    <row r="39" spans="2:12" ht="15.75" x14ac:dyDescent="0.25">
      <c r="B39" s="26" t="s">
        <v>83</v>
      </c>
      <c r="C39" s="153">
        <v>2025</v>
      </c>
      <c r="D39" s="377">
        <v>766539.04</v>
      </c>
      <c r="E39" s="377">
        <v>790681.16</v>
      </c>
      <c r="F39" s="377">
        <v>163131.34</v>
      </c>
      <c r="G39" s="377">
        <v>7442.62</v>
      </c>
      <c r="H39" s="377">
        <f t="shared" si="5"/>
        <v>1727794.1600000004</v>
      </c>
      <c r="K39" s="348">
        <v>1727794.1600000004</v>
      </c>
      <c r="L39" s="14">
        <f t="shared" si="4"/>
        <v>0</v>
      </c>
    </row>
    <row r="40" spans="2:12" ht="15.75" x14ac:dyDescent="0.25">
      <c r="B40" s="26" t="s">
        <v>84</v>
      </c>
      <c r="C40" s="153">
        <v>2025</v>
      </c>
      <c r="D40" s="377">
        <v>927600.79</v>
      </c>
      <c r="E40" s="377">
        <v>889127.53</v>
      </c>
      <c r="F40" s="377">
        <v>193262.51</v>
      </c>
      <c r="G40" s="377">
        <v>11189.19</v>
      </c>
      <c r="H40" s="377">
        <f t="shared" si="5"/>
        <v>2021180.02</v>
      </c>
      <c r="K40" s="348">
        <v>2021180.02</v>
      </c>
      <c r="L40" s="14">
        <f t="shared" si="4"/>
        <v>0</v>
      </c>
    </row>
    <row r="41" spans="2:12" ht="16.5" thickBot="1" x14ac:dyDescent="0.3">
      <c r="B41" s="30" t="s">
        <v>340</v>
      </c>
      <c r="C41" s="30">
        <f>+C40</f>
        <v>2025</v>
      </c>
      <c r="D41" s="154">
        <f>SUM(D29:D40)</f>
        <v>11780389.18</v>
      </c>
      <c r="E41" s="154">
        <f>SUM(E29:E40)</f>
        <v>9921099.4499999993</v>
      </c>
      <c r="F41" s="154">
        <f>SUM(F29:F40)</f>
        <v>2064577.1</v>
      </c>
      <c r="G41" s="154">
        <f>SUM(G29:G40)</f>
        <v>107133.89</v>
      </c>
      <c r="H41" s="154">
        <f t="shared" si="5"/>
        <v>23873199.620000001</v>
      </c>
      <c r="K41" s="31">
        <f>SUM(K29:K40)</f>
        <v>23873199.619999997</v>
      </c>
      <c r="L41" s="14">
        <f t="shared" si="4"/>
        <v>0</v>
      </c>
    </row>
    <row r="42" spans="2:12" ht="15.75" thickTop="1" x14ac:dyDescent="0.25"/>
  </sheetData>
  <printOptions horizontalCentered="1"/>
  <pageMargins left="0.25" right="0.25" top="0.75" bottom="0.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95252-B6BD-4668-90C6-94D95B98CB66}">
  <sheetPr>
    <pageSetUpPr fitToPage="1"/>
  </sheetPr>
  <dimension ref="A1:S78"/>
  <sheetViews>
    <sheetView zoomScaleNormal="100" zoomScaleSheetLayoutView="100" workbookViewId="0"/>
  </sheetViews>
  <sheetFormatPr defaultRowHeight="15" x14ac:dyDescent="0.25"/>
  <cols>
    <col min="1" max="1" width="5.42578125" customWidth="1"/>
    <col min="2" max="2" width="6.140625" customWidth="1"/>
    <col min="3" max="3" width="13.7109375" bestFit="1" customWidth="1"/>
    <col min="4" max="4" width="15.42578125" customWidth="1"/>
    <col min="5" max="5" width="12.28515625" customWidth="1"/>
    <col min="6" max="6" width="13.7109375" bestFit="1" customWidth="1"/>
    <col min="7" max="7" width="15.42578125" bestFit="1" customWidth="1"/>
    <col min="8" max="8" width="13.140625" bestFit="1" customWidth="1"/>
    <col min="9" max="11" width="13.7109375" bestFit="1" customWidth="1"/>
    <col min="12" max="13" width="15.28515625" bestFit="1" customWidth="1"/>
    <col min="14" max="14" width="13.140625" bestFit="1" customWidth="1"/>
    <col min="15" max="15" width="15.28515625" bestFit="1" customWidth="1"/>
    <col min="16" max="16" width="12.5703125" bestFit="1" customWidth="1"/>
    <col min="17" max="17" width="12.7109375" bestFit="1" customWidth="1"/>
    <col min="18" max="18" width="14.5703125" bestFit="1" customWidth="1"/>
    <col min="19" max="19" width="1.7109375" customWidth="1"/>
  </cols>
  <sheetData>
    <row r="1" spans="1:19" ht="18.75" x14ac:dyDescent="0.3">
      <c r="R1" s="146" t="str">
        <f>+'Revs by Rate Class (EE&amp;C2_p1)'!I1</f>
        <v>Attachment EE&amp;C2-1</v>
      </c>
      <c r="S1" s="146"/>
    </row>
    <row r="2" spans="1:19" ht="18.75" x14ac:dyDescent="0.3">
      <c r="R2" s="146" t="s">
        <v>324</v>
      </c>
      <c r="S2" s="146"/>
    </row>
    <row r="3" spans="1:19" ht="14.45" customHeight="1" x14ac:dyDescent="0.25">
      <c r="A3" s="166" t="s">
        <v>0</v>
      </c>
      <c r="B3" s="43"/>
      <c r="C3" s="52"/>
      <c r="D3" s="52"/>
      <c r="E3" s="52"/>
      <c r="F3" s="52"/>
      <c r="G3" s="52"/>
      <c r="H3" s="52"/>
      <c r="I3" s="52"/>
      <c r="J3" s="50"/>
      <c r="K3" s="50"/>
      <c r="L3" s="50"/>
      <c r="M3" s="50"/>
      <c r="N3" s="50"/>
      <c r="O3" s="50"/>
      <c r="P3" s="50"/>
      <c r="Q3" s="50"/>
      <c r="R3" s="50"/>
      <c r="S3" s="50"/>
    </row>
    <row r="4" spans="1:19" ht="18.75" x14ac:dyDescent="0.3">
      <c r="A4" s="147" t="str">
        <f>+'Revs by Rate Class (EE&amp;C2_p1)'!B5</f>
        <v xml:space="preserve">Energy Efficiency &amp; Conservation Triennium 2 Program ("EE&amp;C2")  </v>
      </c>
      <c r="B4" s="33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19" ht="18.75" x14ac:dyDescent="0.3">
      <c r="A5" s="147" t="s">
        <v>760</v>
      </c>
      <c r="B5" s="33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</row>
    <row r="6" spans="1:19" ht="15.75" x14ac:dyDescent="0.25">
      <c r="A6" s="4"/>
      <c r="B6" s="4"/>
    </row>
    <row r="7" spans="1:19" ht="18.75" hidden="1" x14ac:dyDescent="0.3">
      <c r="A7" s="34" t="s">
        <v>25</v>
      </c>
      <c r="B7" s="34"/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164"/>
    </row>
    <row r="8" spans="1:19" ht="15.75" hidden="1" x14ac:dyDescent="0.25">
      <c r="A8" s="4"/>
      <c r="B8" s="4"/>
      <c r="S8" s="164"/>
    </row>
    <row r="9" spans="1:19" ht="15.75" hidden="1" x14ac:dyDescent="0.25">
      <c r="C9" s="299" t="s">
        <v>732</v>
      </c>
      <c r="D9" s="300"/>
      <c r="E9" s="300"/>
      <c r="F9" s="300"/>
      <c r="G9" s="300"/>
      <c r="H9" s="300"/>
      <c r="I9" s="301"/>
      <c r="J9" s="299" t="s">
        <v>26</v>
      </c>
      <c r="K9" s="300"/>
      <c r="L9" s="300"/>
      <c r="M9" s="317"/>
      <c r="N9" s="317"/>
      <c r="O9" s="318"/>
      <c r="S9" s="164"/>
    </row>
    <row r="10" spans="1:19" hidden="1" x14ac:dyDescent="0.25">
      <c r="C10" s="171" t="s">
        <v>28</v>
      </c>
      <c r="D10" s="2" t="s">
        <v>27</v>
      </c>
      <c r="G10" s="2" t="s">
        <v>28</v>
      </c>
      <c r="H10" s="2"/>
      <c r="I10" s="172"/>
      <c r="J10" s="304"/>
      <c r="M10" s="2" t="s">
        <v>34</v>
      </c>
      <c r="O10" s="305"/>
      <c r="S10" s="164"/>
    </row>
    <row r="11" spans="1:19" hidden="1" x14ac:dyDescent="0.25">
      <c r="C11" s="171" t="s">
        <v>312</v>
      </c>
      <c r="D11" s="2" t="s">
        <v>28</v>
      </c>
      <c r="E11" s="2"/>
      <c r="G11" s="2" t="s">
        <v>312</v>
      </c>
      <c r="H11" s="2"/>
      <c r="I11" s="172"/>
      <c r="J11" s="304"/>
      <c r="K11" s="2" t="s">
        <v>29</v>
      </c>
      <c r="M11" s="2" t="s">
        <v>39</v>
      </c>
      <c r="N11" s="319" t="s">
        <v>30</v>
      </c>
      <c r="O11" s="305"/>
      <c r="S11" s="164"/>
    </row>
    <row r="12" spans="1:19" ht="15.75" hidden="1" thickBot="1" x14ac:dyDescent="0.3">
      <c r="C12" s="171" t="s">
        <v>283</v>
      </c>
      <c r="D12" s="2" t="s">
        <v>312</v>
      </c>
      <c r="E12" s="2" t="s">
        <v>32</v>
      </c>
      <c r="F12" s="2" t="s">
        <v>27</v>
      </c>
      <c r="G12" s="2" t="s">
        <v>311</v>
      </c>
      <c r="H12" s="2" t="s">
        <v>27</v>
      </c>
      <c r="I12" s="172" t="s">
        <v>27</v>
      </c>
      <c r="J12" s="171" t="s">
        <v>284</v>
      </c>
      <c r="K12" s="2" t="s">
        <v>284</v>
      </c>
      <c r="L12" s="2" t="s">
        <v>33</v>
      </c>
      <c r="M12" s="2" t="s">
        <v>33</v>
      </c>
      <c r="N12" s="2" t="s">
        <v>35</v>
      </c>
      <c r="O12" s="305"/>
      <c r="P12" s="40">
        <f>+'CAP-1 WACC'!F16</f>
        <v>7.6083333333333324E-3</v>
      </c>
      <c r="Q12" s="9" t="s">
        <v>36</v>
      </c>
      <c r="R12" s="9" t="s">
        <v>728</v>
      </c>
      <c r="S12" s="164"/>
    </row>
    <row r="13" spans="1:19" hidden="1" x14ac:dyDescent="0.25">
      <c r="C13" s="171" t="s">
        <v>31</v>
      </c>
      <c r="D13" s="2" t="s">
        <v>311</v>
      </c>
      <c r="E13" s="2" t="s">
        <v>60</v>
      </c>
      <c r="F13" s="2" t="s">
        <v>15</v>
      </c>
      <c r="G13" s="2" t="s">
        <v>37</v>
      </c>
      <c r="H13" s="2" t="s">
        <v>37</v>
      </c>
      <c r="I13" s="172" t="s">
        <v>40</v>
      </c>
      <c r="J13" s="171" t="s">
        <v>38</v>
      </c>
      <c r="K13" s="2" t="s">
        <v>38</v>
      </c>
      <c r="L13" s="2" t="s">
        <v>38</v>
      </c>
      <c r="M13" s="2" t="s">
        <v>124</v>
      </c>
      <c r="N13" s="2" t="s">
        <v>39</v>
      </c>
      <c r="O13" s="172" t="s">
        <v>40</v>
      </c>
      <c r="P13" s="2" t="s">
        <v>41</v>
      </c>
      <c r="Q13" s="2" t="s">
        <v>42</v>
      </c>
      <c r="R13" s="2" t="s">
        <v>43</v>
      </c>
      <c r="S13" s="164"/>
    </row>
    <row r="14" spans="1:19" ht="15.75" hidden="1" thickBot="1" x14ac:dyDescent="0.3">
      <c r="A14" s="10" t="s">
        <v>341</v>
      </c>
      <c r="B14" s="10" t="s">
        <v>339</v>
      </c>
      <c r="C14" s="302" t="s">
        <v>44</v>
      </c>
      <c r="D14" s="10" t="s">
        <v>44</v>
      </c>
      <c r="E14" s="10" t="s">
        <v>290</v>
      </c>
      <c r="F14" s="10" t="s">
        <v>44</v>
      </c>
      <c r="G14" s="10" t="s">
        <v>45</v>
      </c>
      <c r="H14" s="10" t="s">
        <v>45</v>
      </c>
      <c r="I14" s="303" t="s">
        <v>44</v>
      </c>
      <c r="J14" s="302" t="s">
        <v>292</v>
      </c>
      <c r="K14" s="10" t="s">
        <v>292</v>
      </c>
      <c r="L14" s="10" t="s">
        <v>45</v>
      </c>
      <c r="M14" s="42">
        <v>0.28110000000000002</v>
      </c>
      <c r="N14" s="10" t="s">
        <v>33</v>
      </c>
      <c r="O14" s="303" t="s">
        <v>44</v>
      </c>
      <c r="P14" s="10" t="s">
        <v>46</v>
      </c>
      <c r="Q14" s="10" t="s">
        <v>45</v>
      </c>
      <c r="R14" s="10" t="s">
        <v>47</v>
      </c>
      <c r="S14" s="164"/>
    </row>
    <row r="15" spans="1:19" ht="15" hidden="1" customHeight="1" x14ac:dyDescent="0.25">
      <c r="A15" s="1"/>
      <c r="B15" s="1"/>
      <c r="C15" s="304"/>
      <c r="D15" s="163">
        <v>0</v>
      </c>
      <c r="E15" s="8"/>
      <c r="F15" s="163"/>
      <c r="H15" s="163">
        <v>0</v>
      </c>
      <c r="I15" s="323">
        <f>+D15-H15</f>
        <v>0</v>
      </c>
      <c r="J15" s="320"/>
      <c r="K15" s="164">
        <v>0</v>
      </c>
      <c r="M15" s="8"/>
      <c r="N15" s="164">
        <v>0</v>
      </c>
      <c r="O15" s="178">
        <f t="shared" ref="O15:O21" si="0">+I15-N15</f>
        <v>0</v>
      </c>
      <c r="S15" s="164"/>
    </row>
    <row r="16" spans="1:19" hidden="1" x14ac:dyDescent="0.25">
      <c r="A16" s="37" t="s">
        <v>79</v>
      </c>
      <c r="B16" s="1">
        <v>2024</v>
      </c>
      <c r="C16" s="306">
        <f>ROUND('CAP-3 EE&amp;C'!C16+'CAP-3 EE&amp;C'!D16,2)</f>
        <v>0</v>
      </c>
      <c r="D16" s="309">
        <f>+D15+C16</f>
        <v>0</v>
      </c>
      <c r="E16" s="8">
        <f>ROUND('CAP-3 EE&amp;C'!F16,2)</f>
        <v>0</v>
      </c>
      <c r="F16" s="164">
        <f t="shared" ref="F16:F21" si="1">+D16+E16</f>
        <v>0</v>
      </c>
      <c r="G16" s="164">
        <f>ROUND('CAP-3 EE&amp;C'!H16+'CAP-3 EE&amp;C'!I16,2)</f>
        <v>0</v>
      </c>
      <c r="H16" s="309">
        <f t="shared" ref="H16:H21" si="2">+G16+H15</f>
        <v>0</v>
      </c>
      <c r="I16" s="178">
        <f t="shared" ref="I16:I21" si="3">+F16-H16</f>
        <v>0</v>
      </c>
      <c r="J16" s="177">
        <f t="shared" ref="J16:J21" si="4">ROUND(G16,2)</f>
        <v>0</v>
      </c>
      <c r="K16" s="309">
        <f t="shared" ref="K16:K21" si="5">+K15+J16</f>
        <v>0</v>
      </c>
      <c r="L16" s="8">
        <f t="shared" ref="L16:L21" si="6">+F16</f>
        <v>0</v>
      </c>
      <c r="M16" s="164">
        <f t="shared" ref="M16:M21" si="7">(L16-J16)*M$14</f>
        <v>0</v>
      </c>
      <c r="N16" s="309">
        <f t="shared" ref="N16:N21" si="8">N15+M16</f>
        <v>0</v>
      </c>
      <c r="O16" s="310">
        <f t="shared" si="0"/>
        <v>0</v>
      </c>
      <c r="P16" s="8">
        <f t="shared" ref="P16:P21" si="9">ROUND(O16*$P$12,2)</f>
        <v>0</v>
      </c>
      <c r="Q16" s="8">
        <f>ROUND('CAP-3 EE&amp;C'!S16,2)</f>
        <v>0</v>
      </c>
      <c r="R16" s="8">
        <f t="shared" ref="R16:R21" si="10">+G16+P16+Q16</f>
        <v>0</v>
      </c>
      <c r="S16" s="164"/>
    </row>
    <row r="17" spans="1:19" hidden="1" x14ac:dyDescent="0.25">
      <c r="A17" s="37" t="s">
        <v>80</v>
      </c>
      <c r="B17" s="1">
        <f t="shared" ref="B17:B22" si="11">+B16</f>
        <v>2024</v>
      </c>
      <c r="C17" s="307">
        <f>ROUND('CAP-3 EE&amp;C'!C17+'CAP-3 EE&amp;C'!D17,2)</f>
        <v>0</v>
      </c>
      <c r="D17" s="308">
        <f>D16+C17</f>
        <v>0</v>
      </c>
      <c r="E17" s="309">
        <f>ROUND('CAP-3 EE&amp;C'!F17,2)</f>
        <v>0</v>
      </c>
      <c r="F17" s="309">
        <f t="shared" si="1"/>
        <v>0</v>
      </c>
      <c r="G17" s="309">
        <f>ROUND('CAP-3 EE&amp;C'!H17+'CAP-3 EE&amp;C'!I17,2)</f>
        <v>0</v>
      </c>
      <c r="H17" s="309">
        <f t="shared" si="2"/>
        <v>0</v>
      </c>
      <c r="I17" s="310">
        <f t="shared" si="3"/>
        <v>0</v>
      </c>
      <c r="J17" s="321">
        <f t="shared" si="4"/>
        <v>0</v>
      </c>
      <c r="K17" s="309">
        <f t="shared" si="5"/>
        <v>0</v>
      </c>
      <c r="L17" s="309">
        <f t="shared" si="6"/>
        <v>0</v>
      </c>
      <c r="M17" s="309">
        <f t="shared" si="7"/>
        <v>0</v>
      </c>
      <c r="N17" s="309">
        <f t="shared" si="8"/>
        <v>0</v>
      </c>
      <c r="O17" s="310">
        <f t="shared" si="0"/>
        <v>0</v>
      </c>
      <c r="P17" s="18">
        <f t="shared" si="9"/>
        <v>0</v>
      </c>
      <c r="Q17" s="18">
        <f>ROUND('CAP-3 EE&amp;C'!S17,2)</f>
        <v>0</v>
      </c>
      <c r="R17" s="18">
        <f t="shared" si="10"/>
        <v>0</v>
      </c>
      <c r="S17" s="164"/>
    </row>
    <row r="18" spans="1:19" hidden="1" x14ac:dyDescent="0.25">
      <c r="A18" s="37" t="s">
        <v>81</v>
      </c>
      <c r="B18" s="1">
        <f t="shared" si="11"/>
        <v>2024</v>
      </c>
      <c r="C18" s="307">
        <f>ROUND('CAP-3 EE&amp;C'!C18+'CAP-3 EE&amp;C'!D18,2)</f>
        <v>0</v>
      </c>
      <c r="D18" s="308">
        <f>D17+C18</f>
        <v>0</v>
      </c>
      <c r="E18" s="309">
        <f>ROUND('CAP-3 EE&amp;C'!F18,2)</f>
        <v>0</v>
      </c>
      <c r="F18" s="309">
        <f t="shared" si="1"/>
        <v>0</v>
      </c>
      <c r="G18" s="309">
        <f>ROUND('CAP-3 EE&amp;C'!H18+'CAP-3 EE&amp;C'!I18,2)</f>
        <v>0</v>
      </c>
      <c r="H18" s="309">
        <f t="shared" si="2"/>
        <v>0</v>
      </c>
      <c r="I18" s="310">
        <f t="shared" si="3"/>
        <v>0</v>
      </c>
      <c r="J18" s="321">
        <f t="shared" si="4"/>
        <v>0</v>
      </c>
      <c r="K18" s="309">
        <f t="shared" si="5"/>
        <v>0</v>
      </c>
      <c r="L18" s="309">
        <f t="shared" si="6"/>
        <v>0</v>
      </c>
      <c r="M18" s="309">
        <f t="shared" si="7"/>
        <v>0</v>
      </c>
      <c r="N18" s="309">
        <f t="shared" si="8"/>
        <v>0</v>
      </c>
      <c r="O18" s="310">
        <f t="shared" si="0"/>
        <v>0</v>
      </c>
      <c r="P18" s="18">
        <f t="shared" si="9"/>
        <v>0</v>
      </c>
      <c r="Q18" s="18">
        <f>ROUND('CAP-3 EE&amp;C'!S18,2)</f>
        <v>0</v>
      </c>
      <c r="R18" s="18">
        <f t="shared" si="10"/>
        <v>0</v>
      </c>
      <c r="S18" s="164"/>
    </row>
    <row r="19" spans="1:19" hidden="1" x14ac:dyDescent="0.25">
      <c r="A19" s="37" t="s">
        <v>82</v>
      </c>
      <c r="B19" s="1">
        <f t="shared" si="11"/>
        <v>2024</v>
      </c>
      <c r="C19" s="307">
        <f>ROUND('CAP-3 EE&amp;C'!C19+'CAP-3 EE&amp;C'!D19,2)</f>
        <v>0</v>
      </c>
      <c r="D19" s="308">
        <f>D18+C19</f>
        <v>0</v>
      </c>
      <c r="E19" s="309">
        <f>ROUND('CAP-3 EE&amp;C'!F19,2)</f>
        <v>0</v>
      </c>
      <c r="F19" s="309">
        <f t="shared" si="1"/>
        <v>0</v>
      </c>
      <c r="G19" s="309">
        <f>ROUND('CAP-3 EE&amp;C'!H19+'CAP-3 EE&amp;C'!I19,2)</f>
        <v>0</v>
      </c>
      <c r="H19" s="309">
        <f t="shared" si="2"/>
        <v>0</v>
      </c>
      <c r="I19" s="310">
        <f t="shared" si="3"/>
        <v>0</v>
      </c>
      <c r="J19" s="321">
        <f t="shared" si="4"/>
        <v>0</v>
      </c>
      <c r="K19" s="309">
        <f t="shared" si="5"/>
        <v>0</v>
      </c>
      <c r="L19" s="309">
        <f t="shared" si="6"/>
        <v>0</v>
      </c>
      <c r="M19" s="309">
        <f t="shared" si="7"/>
        <v>0</v>
      </c>
      <c r="N19" s="309">
        <f t="shared" si="8"/>
        <v>0</v>
      </c>
      <c r="O19" s="310">
        <f t="shared" si="0"/>
        <v>0</v>
      </c>
      <c r="P19" s="18">
        <f t="shared" si="9"/>
        <v>0</v>
      </c>
      <c r="Q19" s="18">
        <f>ROUND('CAP-3 EE&amp;C'!S19,2)</f>
        <v>0</v>
      </c>
      <c r="R19" s="18">
        <f t="shared" si="10"/>
        <v>0</v>
      </c>
      <c r="S19" s="164"/>
    </row>
    <row r="20" spans="1:19" hidden="1" x14ac:dyDescent="0.25">
      <c r="A20" s="37" t="s">
        <v>83</v>
      </c>
      <c r="B20" s="1">
        <f t="shared" si="11"/>
        <v>2024</v>
      </c>
      <c r="C20" s="307">
        <f>ROUND('CAP-3 EE&amp;C'!C20+'CAP-3 EE&amp;C'!D20,2)</f>
        <v>0</v>
      </c>
      <c r="D20" s="308">
        <f>D19+C20</f>
        <v>0</v>
      </c>
      <c r="E20" s="309">
        <f>ROUND('CAP-3 EE&amp;C'!F20,2)</f>
        <v>0</v>
      </c>
      <c r="F20" s="309">
        <f t="shared" si="1"/>
        <v>0</v>
      </c>
      <c r="G20" s="309">
        <f>ROUND('CAP-3 EE&amp;C'!H20+'CAP-3 EE&amp;C'!I20,2)</f>
        <v>0</v>
      </c>
      <c r="H20" s="309">
        <f t="shared" si="2"/>
        <v>0</v>
      </c>
      <c r="I20" s="310">
        <f t="shared" si="3"/>
        <v>0</v>
      </c>
      <c r="J20" s="321">
        <f t="shared" si="4"/>
        <v>0</v>
      </c>
      <c r="K20" s="309">
        <f t="shared" si="5"/>
        <v>0</v>
      </c>
      <c r="L20" s="309">
        <f t="shared" si="6"/>
        <v>0</v>
      </c>
      <c r="M20" s="309">
        <f t="shared" si="7"/>
        <v>0</v>
      </c>
      <c r="N20" s="309">
        <f t="shared" si="8"/>
        <v>0</v>
      </c>
      <c r="O20" s="310">
        <f t="shared" si="0"/>
        <v>0</v>
      </c>
      <c r="P20" s="18">
        <f t="shared" si="9"/>
        <v>0</v>
      </c>
      <c r="Q20" s="18">
        <f>ROUND('CAP-3 EE&amp;C'!S20,2)</f>
        <v>0</v>
      </c>
      <c r="R20" s="18">
        <f t="shared" si="10"/>
        <v>0</v>
      </c>
      <c r="S20" s="164"/>
    </row>
    <row r="21" spans="1:19" hidden="1" x14ac:dyDescent="0.25">
      <c r="A21" s="37" t="s">
        <v>84</v>
      </c>
      <c r="B21" s="1">
        <f t="shared" si="11"/>
        <v>2024</v>
      </c>
      <c r="C21" s="307">
        <f>ROUND('CAP-3 EE&amp;C'!C21+'CAP-3 EE&amp;C'!D21,2)</f>
        <v>0</v>
      </c>
      <c r="D21" s="312">
        <f>D20+C21</f>
        <v>0</v>
      </c>
      <c r="E21" s="309">
        <f>ROUND('CAP-3 EE&amp;C'!F21,2)</f>
        <v>0</v>
      </c>
      <c r="F21" s="309">
        <f t="shared" si="1"/>
        <v>0</v>
      </c>
      <c r="G21" s="309">
        <f>ROUND('CAP-3 EE&amp;C'!H21+'CAP-3 EE&amp;C'!I21,2)</f>
        <v>0</v>
      </c>
      <c r="H21" s="12">
        <f t="shared" si="2"/>
        <v>0</v>
      </c>
      <c r="I21" s="179">
        <f t="shared" si="3"/>
        <v>0</v>
      </c>
      <c r="J21" s="19">
        <f t="shared" si="4"/>
        <v>0</v>
      </c>
      <c r="K21" s="12">
        <f t="shared" si="5"/>
        <v>0</v>
      </c>
      <c r="L21" s="309">
        <f t="shared" si="6"/>
        <v>0</v>
      </c>
      <c r="M21" s="12">
        <f t="shared" si="7"/>
        <v>0</v>
      </c>
      <c r="N21" s="12">
        <f t="shared" si="8"/>
        <v>0</v>
      </c>
      <c r="O21" s="179">
        <f t="shared" si="0"/>
        <v>0</v>
      </c>
      <c r="P21" s="18">
        <f t="shared" si="9"/>
        <v>0</v>
      </c>
      <c r="Q21" s="18">
        <f>ROUND('CAP-3 EE&amp;C'!S21,2)</f>
        <v>0</v>
      </c>
      <c r="R21" s="18">
        <f t="shared" si="10"/>
        <v>0</v>
      </c>
      <c r="S21" s="164"/>
    </row>
    <row r="22" spans="1:19" ht="15.75" hidden="1" thickBot="1" x14ac:dyDescent="0.3">
      <c r="A22" s="1" t="s">
        <v>15</v>
      </c>
      <c r="B22" s="1">
        <f t="shared" si="11"/>
        <v>2024</v>
      </c>
      <c r="C22" s="313">
        <f>SUM(C16:C21)</f>
        <v>0</v>
      </c>
      <c r="D22" s="314"/>
      <c r="E22" s="144">
        <f>SUM(E16:E21)</f>
        <v>0</v>
      </c>
      <c r="F22" s="14"/>
      <c r="G22" s="144">
        <f>SUM(G16:G21)</f>
        <v>0</v>
      </c>
      <c r="H22" s="14"/>
      <c r="I22" s="315"/>
      <c r="J22" s="322">
        <f>SUM(J16:J21)</f>
        <v>0</v>
      </c>
      <c r="K22" s="8"/>
      <c r="L22" s="39">
        <f>SUM(L16:L21)</f>
        <v>0</v>
      </c>
      <c r="M22" s="39">
        <f>SUM(M16:M21)</f>
        <v>0</v>
      </c>
      <c r="O22" s="305"/>
      <c r="P22" s="39">
        <f>SUM(P16:P21)</f>
        <v>0</v>
      </c>
      <c r="Q22" s="39">
        <f>SUM(Q16:Q21)</f>
        <v>0</v>
      </c>
      <c r="R22" s="39">
        <f>SUM(R16:R21)</f>
        <v>0</v>
      </c>
      <c r="S22" s="164"/>
    </row>
    <row r="23" spans="1:19" hidden="1" x14ac:dyDescent="0.25">
      <c r="A23" s="1"/>
      <c r="B23" s="1"/>
      <c r="C23" s="163"/>
      <c r="D23" s="157"/>
      <c r="E23" s="163"/>
      <c r="F23" s="163"/>
      <c r="G23" s="163"/>
      <c r="H23" s="163"/>
      <c r="I23" s="163"/>
      <c r="J23" s="163"/>
      <c r="K23" s="14"/>
      <c r="L23" s="163"/>
      <c r="M23" s="163"/>
      <c r="N23" s="14"/>
      <c r="O23" s="14"/>
      <c r="P23" s="164"/>
      <c r="Q23" s="164"/>
      <c r="R23" s="164"/>
      <c r="S23" s="164"/>
    </row>
    <row r="24" spans="1:19" hidden="1" x14ac:dyDescent="0.25">
      <c r="D24" s="155"/>
      <c r="E24" s="15"/>
      <c r="G24" s="155"/>
      <c r="H24" s="155"/>
      <c r="K24" s="8"/>
      <c r="L24" s="14"/>
      <c r="N24" s="8"/>
      <c r="O24" s="8"/>
      <c r="S24" s="164"/>
    </row>
    <row r="25" spans="1:19" ht="18.75" hidden="1" x14ac:dyDescent="0.3">
      <c r="A25" s="34" t="s">
        <v>25</v>
      </c>
      <c r="B25" s="34"/>
      <c r="C25" s="3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143"/>
      <c r="R25" s="143"/>
      <c r="S25" s="164"/>
    </row>
    <row r="26" spans="1:19" ht="15.75" hidden="1" x14ac:dyDescent="0.25">
      <c r="A26" s="4"/>
      <c r="B26" s="4"/>
      <c r="Q26" s="14">
        <f>L34*M32</f>
        <v>317756.82301200001</v>
      </c>
      <c r="S26" s="164"/>
    </row>
    <row r="27" spans="1:19" ht="15.75" hidden="1" x14ac:dyDescent="0.25">
      <c r="C27" s="299" t="s">
        <v>732</v>
      </c>
      <c r="D27" s="300"/>
      <c r="E27" s="300"/>
      <c r="F27" s="300"/>
      <c r="G27" s="300"/>
      <c r="H27" s="300"/>
      <c r="I27" s="301"/>
      <c r="J27" s="299" t="s">
        <v>26</v>
      </c>
      <c r="K27" s="300"/>
      <c r="L27" s="300"/>
      <c r="M27" s="317"/>
      <c r="N27" s="317"/>
      <c r="O27" s="318"/>
      <c r="S27" s="164"/>
    </row>
    <row r="28" spans="1:19" hidden="1" x14ac:dyDescent="0.25">
      <c r="C28" s="171" t="s">
        <v>28</v>
      </c>
      <c r="D28" s="2" t="s">
        <v>27</v>
      </c>
      <c r="G28" s="2" t="s">
        <v>28</v>
      </c>
      <c r="H28" s="2"/>
      <c r="I28" s="172"/>
      <c r="J28" s="304"/>
      <c r="M28" s="2" t="s">
        <v>34</v>
      </c>
      <c r="O28" s="305"/>
      <c r="S28" s="164"/>
    </row>
    <row r="29" spans="1:19" hidden="1" x14ac:dyDescent="0.25">
      <c r="C29" s="171" t="s">
        <v>312</v>
      </c>
      <c r="D29" s="2" t="s">
        <v>28</v>
      </c>
      <c r="E29" s="2"/>
      <c r="G29" s="2" t="s">
        <v>312</v>
      </c>
      <c r="H29" s="2"/>
      <c r="I29" s="172"/>
      <c r="J29" s="304"/>
      <c r="K29" s="2" t="s">
        <v>29</v>
      </c>
      <c r="M29" s="2" t="s">
        <v>39</v>
      </c>
      <c r="N29" s="319" t="s">
        <v>30</v>
      </c>
      <c r="O29" s="305"/>
      <c r="S29" s="164"/>
    </row>
    <row r="30" spans="1:19" ht="15.75" hidden="1" thickBot="1" x14ac:dyDescent="0.3">
      <c r="C30" s="171" t="s">
        <v>283</v>
      </c>
      <c r="D30" s="2" t="s">
        <v>312</v>
      </c>
      <c r="E30" s="2" t="s">
        <v>32</v>
      </c>
      <c r="F30" s="2" t="s">
        <v>27</v>
      </c>
      <c r="G30" s="2" t="s">
        <v>311</v>
      </c>
      <c r="H30" s="2" t="s">
        <v>27</v>
      </c>
      <c r="I30" s="172" t="s">
        <v>27</v>
      </c>
      <c r="J30" s="171" t="s">
        <v>284</v>
      </c>
      <c r="K30" s="2" t="s">
        <v>284</v>
      </c>
      <c r="L30" s="2" t="s">
        <v>33</v>
      </c>
      <c r="M30" s="2" t="s">
        <v>33</v>
      </c>
      <c r="N30" s="2" t="s">
        <v>35</v>
      </c>
      <c r="O30" s="305"/>
      <c r="P30" s="374">
        <f>'CAP-1 WACC'!F16</f>
        <v>7.6083333333333324E-3</v>
      </c>
      <c r="Q30" s="9" t="s">
        <v>36</v>
      </c>
      <c r="R30" s="9" t="s">
        <v>728</v>
      </c>
      <c r="S30" s="164"/>
    </row>
    <row r="31" spans="1:19" hidden="1" x14ac:dyDescent="0.25">
      <c r="C31" s="171" t="s">
        <v>31</v>
      </c>
      <c r="D31" s="2" t="s">
        <v>311</v>
      </c>
      <c r="E31" s="2" t="s">
        <v>60</v>
      </c>
      <c r="F31" s="2" t="s">
        <v>15</v>
      </c>
      <c r="G31" s="2" t="s">
        <v>37</v>
      </c>
      <c r="H31" s="2" t="s">
        <v>37</v>
      </c>
      <c r="I31" s="172" t="s">
        <v>40</v>
      </c>
      <c r="J31" s="171" t="s">
        <v>38</v>
      </c>
      <c r="K31" s="2" t="s">
        <v>38</v>
      </c>
      <c r="L31" s="2" t="s">
        <v>38</v>
      </c>
      <c r="M31" s="2" t="s">
        <v>124</v>
      </c>
      <c r="N31" s="2" t="s">
        <v>39</v>
      </c>
      <c r="O31" s="172" t="s">
        <v>40</v>
      </c>
      <c r="P31" s="2" t="s">
        <v>41</v>
      </c>
      <c r="Q31" s="2" t="s">
        <v>42</v>
      </c>
      <c r="R31" s="2" t="s">
        <v>43</v>
      </c>
      <c r="S31" s="164"/>
    </row>
    <row r="32" spans="1:19" ht="15.75" hidden="1" thickBot="1" x14ac:dyDescent="0.3">
      <c r="A32" s="10" t="s">
        <v>341</v>
      </c>
      <c r="B32" s="10" t="s">
        <v>339</v>
      </c>
      <c r="C32" s="302" t="s">
        <v>44</v>
      </c>
      <c r="D32" s="10" t="s">
        <v>44</v>
      </c>
      <c r="E32" s="10" t="s">
        <v>290</v>
      </c>
      <c r="F32" s="10" t="s">
        <v>44</v>
      </c>
      <c r="G32" s="10" t="s">
        <v>45</v>
      </c>
      <c r="H32" s="10" t="s">
        <v>45</v>
      </c>
      <c r="I32" s="303" t="s">
        <v>44</v>
      </c>
      <c r="J32" s="302" t="s">
        <v>292</v>
      </c>
      <c r="K32" s="10" t="s">
        <v>292</v>
      </c>
      <c r="L32" s="10" t="s">
        <v>45</v>
      </c>
      <c r="M32" s="42">
        <v>0.28110000000000002</v>
      </c>
      <c r="N32" s="10" t="s">
        <v>33</v>
      </c>
      <c r="O32" s="303" t="s">
        <v>44</v>
      </c>
      <c r="P32" s="10" t="s">
        <v>46</v>
      </c>
      <c r="Q32" s="10" t="s">
        <v>45</v>
      </c>
      <c r="R32" s="10" t="s">
        <v>47</v>
      </c>
      <c r="S32" s="164"/>
    </row>
    <row r="33" spans="1:19" hidden="1" x14ac:dyDescent="0.25">
      <c r="A33" s="2"/>
      <c r="B33" s="2"/>
      <c r="C33" s="304"/>
      <c r="D33" s="163"/>
      <c r="E33" s="8"/>
      <c r="F33" s="8"/>
      <c r="H33" s="163"/>
      <c r="I33" s="305"/>
      <c r="J33" s="320"/>
      <c r="K33" s="164"/>
      <c r="L33" s="13"/>
      <c r="M33" s="8"/>
      <c r="N33" s="164"/>
      <c r="O33" s="178"/>
      <c r="R33" s="8"/>
      <c r="S33" s="164"/>
    </row>
    <row r="34" spans="1:19" hidden="1" x14ac:dyDescent="0.25">
      <c r="A34" s="37" t="s">
        <v>73</v>
      </c>
      <c r="B34" s="1">
        <f>+B16+1</f>
        <v>2025</v>
      </c>
      <c r="C34" s="306">
        <v>1130404.92</v>
      </c>
      <c r="D34" s="8">
        <f>+D21+C34</f>
        <v>1130404.92</v>
      </c>
      <c r="E34" s="8">
        <v>0</v>
      </c>
      <c r="F34" s="8">
        <f t="shared" ref="F34:F39" si="12">+D34+E34</f>
        <v>1130404.92</v>
      </c>
      <c r="G34" s="163">
        <f>ROUND(D34/120,2)</f>
        <v>9420.0400000000009</v>
      </c>
      <c r="H34" s="163">
        <f>+H21+G34</f>
        <v>9420.0400000000009</v>
      </c>
      <c r="I34" s="402">
        <f>+F34-H34</f>
        <v>1120984.8799999999</v>
      </c>
      <c r="J34" s="163">
        <f>G34</f>
        <v>9420.0400000000009</v>
      </c>
      <c r="K34" s="163">
        <f>+K21+J34</f>
        <v>9420.0400000000009</v>
      </c>
      <c r="L34" s="163">
        <f>D34</f>
        <v>1130404.92</v>
      </c>
      <c r="M34" s="312">
        <f>N34</f>
        <v>315108.84976800001</v>
      </c>
      <c r="N34" s="312">
        <f>(($L$34-$K$34)*$M$32)</f>
        <v>315108.84976800001</v>
      </c>
      <c r="O34" s="403">
        <f t="shared" ref="O34:O39" si="13">+I34-N34</f>
        <v>805876.03023199993</v>
      </c>
      <c r="P34" s="8">
        <f t="shared" ref="P34:P39" si="14">ROUND(O34*$P$30,2)</f>
        <v>6131.37</v>
      </c>
      <c r="Q34" s="8">
        <v>212328.2</v>
      </c>
      <c r="R34" s="8">
        <f t="shared" ref="R34:R39" si="15">+G34+P34+Q34</f>
        <v>227879.61000000002</v>
      </c>
      <c r="S34" s="163"/>
    </row>
    <row r="35" spans="1:19" hidden="1" x14ac:dyDescent="0.25">
      <c r="A35" s="37" t="s">
        <v>74</v>
      </c>
      <c r="B35" s="1">
        <f t="shared" ref="B35:B40" si="16">+B34</f>
        <v>2025</v>
      </c>
      <c r="C35" s="307">
        <v>1419201.6</v>
      </c>
      <c r="D35" s="308">
        <f>+D34+C35</f>
        <v>2549606.52</v>
      </c>
      <c r="E35" s="312">
        <v>999128.18</v>
      </c>
      <c r="F35" s="312">
        <f t="shared" si="12"/>
        <v>3548734.7</v>
      </c>
      <c r="G35" s="312">
        <f>ROUND(D35/120,2)</f>
        <v>21246.720000000001</v>
      </c>
      <c r="H35" s="312">
        <f>+G35+H34</f>
        <v>30666.760000000002</v>
      </c>
      <c r="I35" s="402">
        <f>+F35-H35</f>
        <v>3518067.9400000004</v>
      </c>
      <c r="J35" s="312">
        <f>G35</f>
        <v>21246.720000000001</v>
      </c>
      <c r="K35" s="312">
        <f>+K34+J35</f>
        <v>30666.760000000002</v>
      </c>
      <c r="L35" s="163">
        <f>D35</f>
        <v>2549606.52</v>
      </c>
      <c r="M35" s="312">
        <f>N35-N34</f>
        <v>392965.11676800012</v>
      </c>
      <c r="N35" s="312">
        <f>(($L$35-$K$35)*$M$32)</f>
        <v>708073.96653600014</v>
      </c>
      <c r="O35" s="402">
        <f>+I35-N35</f>
        <v>2809993.973464</v>
      </c>
      <c r="P35" s="38">
        <f t="shared" si="14"/>
        <v>21379.37</v>
      </c>
      <c r="Q35" s="38">
        <v>243348.72</v>
      </c>
      <c r="R35" s="38">
        <f>+G35+P35+Q35+51.53</f>
        <v>286026.34000000003</v>
      </c>
      <c r="S35" s="163"/>
    </row>
    <row r="36" spans="1:19" hidden="1" x14ac:dyDescent="0.25">
      <c r="A36" s="37" t="s">
        <v>75</v>
      </c>
      <c r="B36" s="1">
        <f t="shared" si="16"/>
        <v>2025</v>
      </c>
      <c r="C36" s="307">
        <v>1215351.8099999998</v>
      </c>
      <c r="D36" s="308">
        <f>+D35+C36</f>
        <v>3764958.33</v>
      </c>
      <c r="E36" s="312">
        <v>1982430.49</v>
      </c>
      <c r="F36" s="312">
        <f t="shared" si="12"/>
        <v>5747388.8200000003</v>
      </c>
      <c r="G36" s="312">
        <f t="shared" ref="G36:G37" si="17">ROUND(D36/120,2)</f>
        <v>31374.65</v>
      </c>
      <c r="H36" s="312">
        <f>+G36+H35</f>
        <v>62041.41</v>
      </c>
      <c r="I36" s="402">
        <f t="shared" ref="I36:I39" si="18">+F36-H36</f>
        <v>5685347.4100000001</v>
      </c>
      <c r="J36" s="312">
        <f t="shared" ref="J36:J39" si="19">G36</f>
        <v>31374.65</v>
      </c>
      <c r="K36" s="312">
        <f>+K35+J36</f>
        <v>62041.41</v>
      </c>
      <c r="L36" s="163">
        <f t="shared" ref="L36:L39" si="20">D36</f>
        <v>3764958.33</v>
      </c>
      <c r="M36" s="312">
        <f>N36-N35</f>
        <v>332815.97967599996</v>
      </c>
      <c r="N36" s="312">
        <f>(($L$36-$K$36)*$M$32)</f>
        <v>1040889.9462120001</v>
      </c>
      <c r="O36" s="402">
        <f>+I36-N36</f>
        <v>4644457.4637879999</v>
      </c>
      <c r="P36" s="38">
        <f t="shared" si="14"/>
        <v>35336.58</v>
      </c>
      <c r="Q36" s="38">
        <v>325845</v>
      </c>
      <c r="R36" s="38">
        <f t="shared" si="15"/>
        <v>392556.23</v>
      </c>
      <c r="S36" s="163"/>
    </row>
    <row r="37" spans="1:19" hidden="1" x14ac:dyDescent="0.25">
      <c r="A37" s="37" t="s">
        <v>76</v>
      </c>
      <c r="B37" s="1">
        <f t="shared" si="16"/>
        <v>2025</v>
      </c>
      <c r="C37" s="307">
        <v>1572831.1599999997</v>
      </c>
      <c r="D37" s="308">
        <f>+D36+C37</f>
        <v>5337789.49</v>
      </c>
      <c r="E37" s="312">
        <v>3941351.73</v>
      </c>
      <c r="F37" s="312">
        <f t="shared" si="12"/>
        <v>9279141.2200000007</v>
      </c>
      <c r="G37" s="312">
        <f t="shared" si="17"/>
        <v>44481.58</v>
      </c>
      <c r="H37" s="312">
        <f>+G37+H36</f>
        <v>106522.99</v>
      </c>
      <c r="I37" s="402">
        <f t="shared" si="18"/>
        <v>9172618.2300000004</v>
      </c>
      <c r="J37" s="312">
        <f t="shared" si="19"/>
        <v>44481.58</v>
      </c>
      <c r="K37" s="312">
        <f>+K36+J37</f>
        <v>106522.99</v>
      </c>
      <c r="L37" s="163">
        <f t="shared" si="20"/>
        <v>5337789.49</v>
      </c>
      <c r="M37" s="312">
        <f>N37-N36</f>
        <v>429619.06693799992</v>
      </c>
      <c r="N37" s="312">
        <f>(($L$37-$K$37)*$M$32)</f>
        <v>1470509.01315</v>
      </c>
      <c r="O37" s="402">
        <f t="shared" si="13"/>
        <v>7702109.2168500004</v>
      </c>
      <c r="P37" s="38">
        <f t="shared" si="14"/>
        <v>58600.21</v>
      </c>
      <c r="Q37" s="38">
        <v>529533.32999999996</v>
      </c>
      <c r="R37" s="38">
        <f>+G37+P37+Q37-51.53</f>
        <v>632563.59</v>
      </c>
      <c r="S37" s="163"/>
    </row>
    <row r="38" spans="1:19" hidden="1" x14ac:dyDescent="0.25">
      <c r="A38" s="37" t="s">
        <v>77</v>
      </c>
      <c r="B38" s="1">
        <f t="shared" si="16"/>
        <v>2025</v>
      </c>
      <c r="C38" s="307">
        <f>ROUND('CAP-3 EE&amp;C'!C26+'CAP-3 EE&amp;C'!D26,2)</f>
        <v>6804636.75</v>
      </c>
      <c r="D38" s="308">
        <f>+D37+C38</f>
        <v>12142426.24</v>
      </c>
      <c r="E38" s="312">
        <v>5877275.7699999996</v>
      </c>
      <c r="F38" s="312">
        <f t="shared" si="12"/>
        <v>18019702.009999998</v>
      </c>
      <c r="G38" s="312">
        <f>ROUND('CAP-3 EE&amp;C'!H26+'CAP-3 EE&amp;C'!I26,2)</f>
        <v>101186.89</v>
      </c>
      <c r="H38" s="312">
        <f>+G38+H37</f>
        <v>207709.88</v>
      </c>
      <c r="I38" s="402">
        <f t="shared" si="18"/>
        <v>17811992.129999999</v>
      </c>
      <c r="J38" s="312">
        <f t="shared" si="19"/>
        <v>101186.89</v>
      </c>
      <c r="K38" s="312">
        <f>+K37+J38</f>
        <v>207709.88</v>
      </c>
      <c r="L38" s="163">
        <f t="shared" si="20"/>
        <v>12142426.24</v>
      </c>
      <c r="M38" s="312">
        <f>N38-N37</f>
        <v>1884339.7556460002</v>
      </c>
      <c r="N38" s="312">
        <f>(($L$38-$K$38)*$M$32)</f>
        <v>3354848.7687960002</v>
      </c>
      <c r="O38" s="402">
        <f t="shared" si="13"/>
        <v>14457143.361203998</v>
      </c>
      <c r="P38" s="38">
        <f t="shared" si="14"/>
        <v>109994.77</v>
      </c>
      <c r="Q38" s="38">
        <v>488649.02</v>
      </c>
      <c r="R38" s="38">
        <f t="shared" si="15"/>
        <v>699830.68</v>
      </c>
      <c r="S38" s="163"/>
    </row>
    <row r="39" spans="1:19" hidden="1" x14ac:dyDescent="0.25">
      <c r="A39" s="37" t="s">
        <v>78</v>
      </c>
      <c r="B39" s="1">
        <f t="shared" si="16"/>
        <v>2025</v>
      </c>
      <c r="C39" s="311">
        <f>ROUND('CAP-3 EE&amp;C'!C27+'CAP-3 EE&amp;C'!D27,2)</f>
        <v>9561347.75</v>
      </c>
      <c r="D39" s="312">
        <f>+D38+C39</f>
        <v>21703773.990000002</v>
      </c>
      <c r="E39" s="312">
        <v>9776448.2599999998</v>
      </c>
      <c r="F39" s="312">
        <f t="shared" si="12"/>
        <v>31480222.25</v>
      </c>
      <c r="G39" s="308">
        <f>ROUND('CAP-3 EE&amp;C'!H27+'CAP-3 EE&amp;C'!I27,2)</f>
        <v>180864.78</v>
      </c>
      <c r="H39" s="308">
        <f>+G39+H38</f>
        <v>388574.66000000003</v>
      </c>
      <c r="I39" s="404">
        <f t="shared" si="18"/>
        <v>31091647.59</v>
      </c>
      <c r="J39" s="312">
        <f t="shared" si="19"/>
        <v>180864.78</v>
      </c>
      <c r="K39" s="308">
        <f>+K38+J39</f>
        <v>388574.66000000003</v>
      </c>
      <c r="L39" s="163">
        <f t="shared" si="20"/>
        <v>21703773.990000002</v>
      </c>
      <c r="M39" s="312">
        <f>N39-N38</f>
        <v>2636853.7628670004</v>
      </c>
      <c r="N39" s="312">
        <f>(($L$39-$K$39)*$M$32)</f>
        <v>5991702.5316630006</v>
      </c>
      <c r="O39" s="404">
        <f t="shared" si="13"/>
        <v>25099945.058336999</v>
      </c>
      <c r="P39" s="38">
        <f t="shared" si="14"/>
        <v>190968.75</v>
      </c>
      <c r="Q39" s="38">
        <v>444184.14</v>
      </c>
      <c r="R39" s="38">
        <f t="shared" si="15"/>
        <v>816017.67</v>
      </c>
      <c r="S39" s="163"/>
    </row>
    <row r="40" spans="1:19" ht="15.75" hidden="1" thickBot="1" x14ac:dyDescent="0.3">
      <c r="A40" s="1" t="s">
        <v>15</v>
      </c>
      <c r="B40" s="1">
        <f t="shared" si="16"/>
        <v>2025</v>
      </c>
      <c r="C40" s="313">
        <f>+C22+SUM(C34:C39)</f>
        <v>21703773.990000002</v>
      </c>
      <c r="D40" s="314"/>
      <c r="E40" s="144">
        <f>+E22+SUM(E34:E39)</f>
        <v>22576634.43</v>
      </c>
      <c r="F40" s="14"/>
      <c r="G40" s="144">
        <f>+G22+SUM(G34:G39)</f>
        <v>388574.66000000003</v>
      </c>
      <c r="H40" s="14"/>
      <c r="I40" s="315"/>
      <c r="J40" s="313">
        <f>+J22+SUM(J34:J39)</f>
        <v>388574.66000000003</v>
      </c>
      <c r="K40" s="8"/>
      <c r="L40" s="144">
        <f>+L22+SUM(L34:L39)</f>
        <v>46628959.490000002</v>
      </c>
      <c r="M40" s="144">
        <f>+M22+SUM(M34:M39)</f>
        <v>5991702.5316630006</v>
      </c>
      <c r="O40" s="305"/>
      <c r="P40" s="144">
        <f>+P22+SUM(P34:P39)</f>
        <v>422411.05</v>
      </c>
      <c r="Q40" s="144">
        <f>+Q22+SUM(Q34:Q39)</f>
        <v>2243888.41</v>
      </c>
      <c r="R40" s="144">
        <f>+R22+SUM(R34:R39)</f>
        <v>3054874.12</v>
      </c>
      <c r="S40" s="163"/>
    </row>
    <row r="41" spans="1:19" hidden="1" x14ac:dyDescent="0.25">
      <c r="I41" s="13"/>
      <c r="O41" s="310"/>
      <c r="Q41" s="120"/>
      <c r="R41" s="8"/>
      <c r="S41" s="164"/>
    </row>
    <row r="42" spans="1:19" x14ac:dyDescent="0.25">
      <c r="C42" s="8"/>
      <c r="D42" s="13"/>
      <c r="E42" s="7"/>
      <c r="F42" s="8"/>
      <c r="G42" s="8"/>
      <c r="H42" s="8"/>
      <c r="I42" s="8"/>
      <c r="J42" s="8"/>
      <c r="K42" s="13"/>
      <c r="L42" s="8"/>
      <c r="M42" s="8"/>
      <c r="N42" s="13"/>
      <c r="O42" s="310"/>
      <c r="P42" s="375"/>
      <c r="Q42" s="8"/>
      <c r="R42" s="8"/>
      <c r="S42" s="8"/>
    </row>
    <row r="43" spans="1:19" ht="18.75" x14ac:dyDescent="0.3">
      <c r="A43" s="34" t="s">
        <v>25</v>
      </c>
      <c r="B43" s="34"/>
      <c r="C43" s="35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143"/>
      <c r="R43" s="143"/>
      <c r="S43" s="164"/>
    </row>
    <row r="44" spans="1:19" ht="15.75" x14ac:dyDescent="0.25">
      <c r="A44" s="4"/>
      <c r="B44" s="4"/>
      <c r="S44" s="164"/>
    </row>
    <row r="45" spans="1:19" ht="15.75" x14ac:dyDescent="0.25">
      <c r="C45" s="299" t="s">
        <v>732</v>
      </c>
      <c r="D45" s="300"/>
      <c r="E45" s="300"/>
      <c r="F45" s="300"/>
      <c r="G45" s="300"/>
      <c r="H45" s="300"/>
      <c r="I45" s="301"/>
      <c r="J45" s="299" t="s">
        <v>26</v>
      </c>
      <c r="K45" s="300"/>
      <c r="L45" s="300"/>
      <c r="M45" s="317"/>
      <c r="N45" s="317"/>
      <c r="O45" s="318"/>
      <c r="S45" s="164"/>
    </row>
    <row r="46" spans="1:19" x14ac:dyDescent="0.25">
      <c r="C46" s="171" t="s">
        <v>28</v>
      </c>
      <c r="D46" s="2" t="s">
        <v>27</v>
      </c>
      <c r="G46" s="2" t="s">
        <v>28</v>
      </c>
      <c r="H46" s="2"/>
      <c r="I46" s="172"/>
      <c r="J46" s="304"/>
      <c r="M46" s="2" t="s">
        <v>34</v>
      </c>
      <c r="O46" s="305"/>
      <c r="S46" s="164"/>
    </row>
    <row r="47" spans="1:19" ht="15.75" thickBot="1" x14ac:dyDescent="0.3">
      <c r="C47" s="171" t="s">
        <v>312</v>
      </c>
      <c r="D47" s="2" t="s">
        <v>28</v>
      </c>
      <c r="E47" s="2"/>
      <c r="G47" s="2" t="s">
        <v>312</v>
      </c>
      <c r="H47" s="2"/>
      <c r="I47" s="172"/>
      <c r="J47" s="304"/>
      <c r="K47" s="2" t="s">
        <v>29</v>
      </c>
      <c r="L47" s="2" t="s">
        <v>27</v>
      </c>
      <c r="M47" s="2" t="s">
        <v>39</v>
      </c>
      <c r="N47" s="319" t="s">
        <v>30</v>
      </c>
      <c r="O47" s="305"/>
      <c r="S47" s="164"/>
    </row>
    <row r="48" spans="1:19" ht="15.75" thickBot="1" x14ac:dyDescent="0.3">
      <c r="C48" s="171" t="s">
        <v>283</v>
      </c>
      <c r="D48" s="2" t="s">
        <v>312</v>
      </c>
      <c r="E48" s="2" t="s">
        <v>32</v>
      </c>
      <c r="F48" s="2" t="s">
        <v>27</v>
      </c>
      <c r="G48" s="2" t="s">
        <v>311</v>
      </c>
      <c r="H48" s="2" t="s">
        <v>27</v>
      </c>
      <c r="I48" s="172" t="s">
        <v>27</v>
      </c>
      <c r="J48" s="171" t="s">
        <v>284</v>
      </c>
      <c r="K48" s="2" t="s">
        <v>284</v>
      </c>
      <c r="L48" s="2" t="s">
        <v>33</v>
      </c>
      <c r="M48" s="2" t="s">
        <v>33</v>
      </c>
      <c r="N48" s="2" t="s">
        <v>35</v>
      </c>
      <c r="O48" s="305"/>
      <c r="P48" s="316">
        <f>'CAP-1 WACC'!F16</f>
        <v>7.6083333333333324E-3</v>
      </c>
      <c r="Q48" s="9" t="s">
        <v>36</v>
      </c>
      <c r="R48" s="9" t="s">
        <v>728</v>
      </c>
      <c r="S48" s="164"/>
    </row>
    <row r="49" spans="1:19" ht="15.75" thickBot="1" x14ac:dyDescent="0.3">
      <c r="C49" s="171" t="s">
        <v>31</v>
      </c>
      <c r="D49" s="2" t="s">
        <v>311</v>
      </c>
      <c r="E49" s="2" t="s">
        <v>60</v>
      </c>
      <c r="F49" s="2" t="s">
        <v>15</v>
      </c>
      <c r="G49" s="2" t="s">
        <v>37</v>
      </c>
      <c r="H49" s="2" t="s">
        <v>37</v>
      </c>
      <c r="I49" s="172" t="s">
        <v>40</v>
      </c>
      <c r="J49" s="171" t="s">
        <v>38</v>
      </c>
      <c r="K49" s="2" t="s">
        <v>38</v>
      </c>
      <c r="L49" s="2" t="s">
        <v>38</v>
      </c>
      <c r="M49" s="2" t="s">
        <v>124</v>
      </c>
      <c r="N49" s="2" t="s">
        <v>39</v>
      </c>
      <c r="O49" s="172" t="s">
        <v>40</v>
      </c>
      <c r="P49" s="2" t="s">
        <v>41</v>
      </c>
      <c r="Q49" s="2" t="s">
        <v>42</v>
      </c>
      <c r="R49" s="2" t="s">
        <v>43</v>
      </c>
      <c r="S49" s="164"/>
    </row>
    <row r="50" spans="1:19" ht="15.75" thickBot="1" x14ac:dyDescent="0.3">
      <c r="A50" s="10" t="s">
        <v>341</v>
      </c>
      <c r="B50" s="10" t="s">
        <v>339</v>
      </c>
      <c r="C50" s="302" t="s">
        <v>44</v>
      </c>
      <c r="D50" s="10" t="s">
        <v>44</v>
      </c>
      <c r="E50" s="10" t="s">
        <v>290</v>
      </c>
      <c r="F50" s="10" t="s">
        <v>44</v>
      </c>
      <c r="G50" s="10" t="s">
        <v>45</v>
      </c>
      <c r="H50" s="10" t="s">
        <v>45</v>
      </c>
      <c r="I50" s="303" t="s">
        <v>44</v>
      </c>
      <c r="J50" s="302" t="s">
        <v>292</v>
      </c>
      <c r="K50" s="10" t="s">
        <v>292</v>
      </c>
      <c r="L50" s="10" t="s">
        <v>45</v>
      </c>
      <c r="M50" s="42">
        <v>0.28110000000000002</v>
      </c>
      <c r="N50" s="10" t="s">
        <v>33</v>
      </c>
      <c r="O50" s="303" t="s">
        <v>44</v>
      </c>
      <c r="P50" s="10" t="s">
        <v>46</v>
      </c>
      <c r="Q50" s="10" t="s">
        <v>45</v>
      </c>
      <c r="R50" s="10" t="s">
        <v>47</v>
      </c>
      <c r="S50" s="164"/>
    </row>
    <row r="51" spans="1:19" s="11" customFormat="1" ht="15.75" x14ac:dyDescent="0.25">
      <c r="A51" s="432" t="s">
        <v>765</v>
      </c>
      <c r="B51" s="433"/>
      <c r="C51" s="434"/>
      <c r="D51" s="435">
        <f>D39</f>
        <v>21703773.990000002</v>
      </c>
      <c r="E51" s="436">
        <f>E39</f>
        <v>9776448.2599999998</v>
      </c>
      <c r="F51" s="436">
        <f>F39</f>
        <v>31480222.25</v>
      </c>
      <c r="G51" s="435"/>
      <c r="H51" s="435">
        <f>H39</f>
        <v>388574.66000000003</v>
      </c>
      <c r="I51" s="437">
        <f>I39</f>
        <v>31091647.59</v>
      </c>
      <c r="J51" s="434"/>
      <c r="K51" s="435">
        <f>K39</f>
        <v>388574.66000000003</v>
      </c>
      <c r="L51" s="438"/>
      <c r="M51" s="436"/>
      <c r="N51" s="439">
        <f>N39</f>
        <v>5991702.5316630006</v>
      </c>
      <c r="O51" s="440">
        <f>O39</f>
        <v>25099945.058336999</v>
      </c>
      <c r="P51" s="441">
        <f>P40</f>
        <v>422411.05</v>
      </c>
      <c r="Q51" s="436">
        <f>Q40</f>
        <v>2243888.41</v>
      </c>
      <c r="R51" s="436">
        <f>R40</f>
        <v>3054874.12</v>
      </c>
      <c r="S51" s="439"/>
    </row>
    <row r="52" spans="1:19" x14ac:dyDescent="0.25">
      <c r="A52" s="37" t="s">
        <v>79</v>
      </c>
      <c r="B52" s="1">
        <v>2025</v>
      </c>
      <c r="C52" s="306">
        <v>12410886.040000001</v>
      </c>
      <c r="D52" s="6">
        <f>+D39+C52</f>
        <v>34114660.030000001</v>
      </c>
      <c r="E52" s="6">
        <v>12628690.98</v>
      </c>
      <c r="F52" s="6">
        <f>+D52+E52</f>
        <v>46743351.010000005</v>
      </c>
      <c r="G52" s="6">
        <f>ROUND(D52/120,2)</f>
        <v>284288.83</v>
      </c>
      <c r="H52" s="6">
        <f>+H39+G52</f>
        <v>672863.49</v>
      </c>
      <c r="I52" s="402">
        <f>+F52-H52</f>
        <v>46070487.520000003</v>
      </c>
      <c r="J52" s="163">
        <f>G52</f>
        <v>284288.83</v>
      </c>
      <c r="K52" s="312">
        <f>+K39+J52</f>
        <v>672863.49</v>
      </c>
      <c r="L52" s="163">
        <f>D52</f>
        <v>34114660.030000001</v>
      </c>
      <c r="M52" s="163">
        <f>N52-N39</f>
        <v>3408786.4757310003</v>
      </c>
      <c r="N52" s="312">
        <f>(($L$52-$K$52)*$M$50)</f>
        <v>9400489.0073940009</v>
      </c>
      <c r="O52" s="404">
        <f t="shared" ref="O52:O57" si="21">+I52-N52</f>
        <v>36669998.512606002</v>
      </c>
      <c r="P52" s="6">
        <f t="shared" ref="P52:P57" si="22">ROUND(O52*$P$48,2)</f>
        <v>278997.57</v>
      </c>
      <c r="Q52" s="6">
        <v>764125.72</v>
      </c>
      <c r="R52" s="6">
        <f>+G52+P52+Q52</f>
        <v>1327412.1200000001</v>
      </c>
      <c r="S52" s="163"/>
    </row>
    <row r="53" spans="1:19" x14ac:dyDescent="0.25">
      <c r="A53" s="37" t="s">
        <v>80</v>
      </c>
      <c r="B53" s="1">
        <f t="shared" ref="B53:B58" si="23">+B52</f>
        <v>2025</v>
      </c>
      <c r="C53" s="307">
        <v>17339157.07</v>
      </c>
      <c r="D53" s="308">
        <f>+D52+C53</f>
        <v>51453817.100000001</v>
      </c>
      <c r="E53" s="312">
        <v>19427563.759999998</v>
      </c>
      <c r="F53" s="312">
        <f t="shared" ref="F53:F56" si="24">+D53+E53</f>
        <v>70881380.859999999</v>
      </c>
      <c r="G53" s="6">
        <f t="shared" ref="G53:G57" si="25">ROUND(D53/120,2)</f>
        <v>428781.81</v>
      </c>
      <c r="H53" s="312">
        <f>+G53+H52</f>
        <v>1101645.3</v>
      </c>
      <c r="I53" s="402">
        <f>+F53-H53</f>
        <v>69779735.560000002</v>
      </c>
      <c r="J53" s="308">
        <f t="shared" ref="J53:J56" si="26">G53</f>
        <v>428781.81</v>
      </c>
      <c r="K53" s="312">
        <f>+K52+J53</f>
        <v>1101645.3</v>
      </c>
      <c r="L53" s="308">
        <f t="shared" ref="L53:L56" si="27">D53</f>
        <v>51453817.100000001</v>
      </c>
      <c r="M53" s="312">
        <f>N53-N52</f>
        <v>4753506.4855860006</v>
      </c>
      <c r="N53" s="312">
        <f>(($L$53-$K$53)*$M$50)</f>
        <v>14153995.492980001</v>
      </c>
      <c r="O53" s="402">
        <f t="shared" si="21"/>
        <v>55625740.067019999</v>
      </c>
      <c r="P53" s="38">
        <f t="shared" si="22"/>
        <v>423219.17</v>
      </c>
      <c r="Q53" s="38">
        <v>1315842.82</v>
      </c>
      <c r="R53" s="38">
        <f>+G53+P53+Q53</f>
        <v>2167843.7999999998</v>
      </c>
      <c r="S53" s="163"/>
    </row>
    <row r="54" spans="1:19" x14ac:dyDescent="0.25">
      <c r="A54" s="37" t="s">
        <v>81</v>
      </c>
      <c r="B54" s="1">
        <f t="shared" si="23"/>
        <v>2025</v>
      </c>
      <c r="C54" s="307">
        <v>12544197.660000002</v>
      </c>
      <c r="D54" s="308">
        <f>+D53+C54</f>
        <v>63998014.760000005</v>
      </c>
      <c r="E54" s="312">
        <v>21669066.040000003</v>
      </c>
      <c r="F54" s="312">
        <f t="shared" si="24"/>
        <v>85667080.800000012</v>
      </c>
      <c r="G54" s="6">
        <f t="shared" si="25"/>
        <v>533316.79</v>
      </c>
      <c r="H54" s="312">
        <f>+G54+H53</f>
        <v>1634962.09</v>
      </c>
      <c r="I54" s="402">
        <f t="shared" ref="I54:I55" si="28">+F54-H54</f>
        <v>84032118.710000008</v>
      </c>
      <c r="J54" s="308">
        <f t="shared" si="26"/>
        <v>533316.79</v>
      </c>
      <c r="K54" s="312">
        <f>+K53+J54</f>
        <v>1634962.09</v>
      </c>
      <c r="L54" s="308">
        <f t="shared" si="27"/>
        <v>63998014.760000005</v>
      </c>
      <c r="M54" s="312">
        <f t="shared" ref="M54:M56" si="29">N54-N53</f>
        <v>3376258.6125569995</v>
      </c>
      <c r="N54" s="312">
        <f>(($L$54-$K$54)*$M$50)</f>
        <v>17530254.105537001</v>
      </c>
      <c r="O54" s="402">
        <f t="shared" si="21"/>
        <v>66501864.604463011</v>
      </c>
      <c r="P54" s="38">
        <f t="shared" si="22"/>
        <v>505968.35</v>
      </c>
      <c r="Q54" s="38">
        <v>1960048.54</v>
      </c>
      <c r="R54" s="38">
        <f t="shared" ref="R54:R57" si="30">+G54+P54+Q54</f>
        <v>2999333.68</v>
      </c>
      <c r="S54" s="163"/>
    </row>
    <row r="55" spans="1:19" x14ac:dyDescent="0.25">
      <c r="A55" s="37" t="s">
        <v>82</v>
      </c>
      <c r="B55" s="1">
        <f t="shared" si="23"/>
        <v>2025</v>
      </c>
      <c r="C55" s="307">
        <v>10874304.499999998</v>
      </c>
      <c r="D55" s="308">
        <f>+D54+C55</f>
        <v>74872319.260000005</v>
      </c>
      <c r="E55" s="312">
        <v>27318438.200000003</v>
      </c>
      <c r="F55" s="312">
        <f t="shared" si="24"/>
        <v>102190757.46000001</v>
      </c>
      <c r="G55" s="6">
        <f t="shared" si="25"/>
        <v>623935.99</v>
      </c>
      <c r="H55" s="312">
        <f>+G55+H54</f>
        <v>2258898.08</v>
      </c>
      <c r="I55" s="402">
        <f t="shared" si="28"/>
        <v>99931859.38000001</v>
      </c>
      <c r="J55" s="308">
        <f t="shared" si="26"/>
        <v>623935.99</v>
      </c>
      <c r="K55" s="312">
        <f>+K54+J55</f>
        <v>2258898.08</v>
      </c>
      <c r="L55" s="308">
        <f t="shared" si="27"/>
        <v>74872319.260000005</v>
      </c>
      <c r="M55" s="312">
        <f t="shared" si="29"/>
        <v>2881378.5881610028</v>
      </c>
      <c r="N55" s="312">
        <f>(($L$55-$K$55)*$M$50)</f>
        <v>20411632.693698004</v>
      </c>
      <c r="O55" s="402">
        <f t="shared" si="21"/>
        <v>79520226.686302006</v>
      </c>
      <c r="P55" s="38">
        <f>ROUND(O55*$P$48,2)</f>
        <v>605016.39</v>
      </c>
      <c r="Q55" s="38">
        <v>1658700.43</v>
      </c>
      <c r="R55" s="38">
        <f t="shared" si="30"/>
        <v>2887652.8099999996</v>
      </c>
      <c r="S55" s="163"/>
    </row>
    <row r="56" spans="1:19" x14ac:dyDescent="0.25">
      <c r="A56" s="37" t="s">
        <v>83</v>
      </c>
      <c r="B56" s="1">
        <f t="shared" si="23"/>
        <v>2025</v>
      </c>
      <c r="C56" s="307">
        <v>10639815.479999999</v>
      </c>
      <c r="D56" s="308">
        <f>+D55+C56</f>
        <v>85512134.74000001</v>
      </c>
      <c r="E56" s="312">
        <v>30924474.760000002</v>
      </c>
      <c r="F56" s="312">
        <f t="shared" si="24"/>
        <v>116436609.50000001</v>
      </c>
      <c r="G56" s="6">
        <f t="shared" si="25"/>
        <v>712601.12</v>
      </c>
      <c r="H56" s="312">
        <f>+G56+H55</f>
        <v>2971499.2</v>
      </c>
      <c r="I56" s="402">
        <f>+F56-H56</f>
        <v>113465110.30000001</v>
      </c>
      <c r="J56" s="308">
        <f t="shared" si="26"/>
        <v>712601.12</v>
      </c>
      <c r="K56" s="312">
        <f>+K55+J56</f>
        <v>2971499.2</v>
      </c>
      <c r="L56" s="308">
        <f t="shared" si="27"/>
        <v>85512134.74000001</v>
      </c>
      <c r="M56" s="312">
        <f t="shared" si="29"/>
        <v>2790539.9565959983</v>
      </c>
      <c r="N56" s="312">
        <f>(($L$56-$K$56)*$M$50)</f>
        <v>23202172.650294002</v>
      </c>
      <c r="O56" s="402">
        <f t="shared" si="21"/>
        <v>90262937.649706006</v>
      </c>
      <c r="P56" s="38">
        <f t="shared" si="22"/>
        <v>686750.52</v>
      </c>
      <c r="Q56" s="38">
        <v>1599156.6</v>
      </c>
      <c r="R56" s="38">
        <f t="shared" si="30"/>
        <v>2998508.24</v>
      </c>
      <c r="S56" s="163"/>
    </row>
    <row r="57" spans="1:19" x14ac:dyDescent="0.25">
      <c r="A57" s="37" t="s">
        <v>84</v>
      </c>
      <c r="B57" s="1">
        <f t="shared" si="23"/>
        <v>2025</v>
      </c>
      <c r="C57" s="311">
        <v>15285026.299999997</v>
      </c>
      <c r="D57" s="312">
        <f>+D56+C57</f>
        <v>100797161.04000001</v>
      </c>
      <c r="E57" s="312">
        <v>33496408.82</v>
      </c>
      <c r="F57" s="312">
        <f>+D57+E57</f>
        <v>134293569.86000001</v>
      </c>
      <c r="G57" s="6">
        <f t="shared" si="25"/>
        <v>839976.34</v>
      </c>
      <c r="H57" s="308">
        <f>+G57+H56</f>
        <v>3811475.54</v>
      </c>
      <c r="I57" s="404">
        <f>+F57-H57</f>
        <v>130482094.32000001</v>
      </c>
      <c r="J57" s="308">
        <f>G57</f>
        <v>839976.34</v>
      </c>
      <c r="K57" s="308">
        <f>+K56+J57</f>
        <v>3811475.54</v>
      </c>
      <c r="L57" s="308">
        <f>D57</f>
        <v>100797161.04000001</v>
      </c>
      <c r="M57" s="312">
        <f>N57-N56</f>
        <v>4060503.5437560007</v>
      </c>
      <c r="N57" s="312">
        <f>(($L$57-$K$57)*$M$50)</f>
        <v>27262676.194050003</v>
      </c>
      <c r="O57" s="404">
        <f t="shared" si="21"/>
        <v>103219418.12595001</v>
      </c>
      <c r="P57" s="38">
        <f t="shared" si="22"/>
        <v>785327.74</v>
      </c>
      <c r="Q57" s="38">
        <v>-567926.48</v>
      </c>
      <c r="R57" s="38">
        <f t="shared" si="30"/>
        <v>1057377.6000000001</v>
      </c>
      <c r="S57" s="163"/>
    </row>
    <row r="58" spans="1:19" ht="15.75" thickBot="1" x14ac:dyDescent="0.3">
      <c r="A58" s="1" t="s">
        <v>15</v>
      </c>
      <c r="B58" s="1">
        <f t="shared" si="23"/>
        <v>2025</v>
      </c>
      <c r="C58" s="313">
        <f>SUM(C52:C57)</f>
        <v>79093387.049999997</v>
      </c>
      <c r="D58" s="314"/>
      <c r="E58" s="163"/>
      <c r="F58" s="14"/>
      <c r="G58" s="144">
        <f>SUM(G51:G57)</f>
        <v>3422900.88</v>
      </c>
      <c r="H58" s="14"/>
      <c r="I58" s="315"/>
      <c r="J58" s="313">
        <f>SUM(J52:J57)</f>
        <v>3422900.88</v>
      </c>
      <c r="K58" s="8"/>
      <c r="L58" s="163"/>
      <c r="M58" s="144">
        <f>SUM(M52:M57)</f>
        <v>21270973.662387002</v>
      </c>
      <c r="N58" s="8"/>
      <c r="O58" s="305"/>
      <c r="P58" s="144">
        <f>SUM(P51:P57)</f>
        <v>3707690.79</v>
      </c>
      <c r="Q58" s="144">
        <f>SUM(Q51:Q57)</f>
        <v>8973836.0399999991</v>
      </c>
      <c r="R58" s="144">
        <f>SUM(R51:R57)</f>
        <v>16493002.370000001</v>
      </c>
      <c r="S58" s="163"/>
    </row>
    <row r="59" spans="1:19" ht="15.75" thickTop="1" x14ac:dyDescent="0.25">
      <c r="D59" s="15"/>
      <c r="I59" s="13"/>
      <c r="O59" s="309"/>
      <c r="Q59" s="120"/>
      <c r="R59" s="8"/>
      <c r="S59" s="164"/>
    </row>
    <row r="60" spans="1:19" x14ac:dyDescent="0.25">
      <c r="C60" s="8"/>
      <c r="D60" s="13"/>
      <c r="E60" s="7"/>
      <c r="F60" s="8"/>
      <c r="G60" s="8"/>
      <c r="H60" s="8"/>
      <c r="I60" s="8"/>
      <c r="J60" s="8"/>
      <c r="K60" s="13"/>
      <c r="L60" s="8"/>
      <c r="M60" s="14"/>
      <c r="N60" s="13"/>
      <c r="O60" s="309"/>
      <c r="P60" s="539"/>
      <c r="Q60" s="8"/>
      <c r="R60" s="8"/>
      <c r="S60" s="8"/>
    </row>
    <row r="61" spans="1:19" ht="18.75" x14ac:dyDescent="0.3">
      <c r="A61" s="34" t="s">
        <v>334</v>
      </c>
      <c r="B61" s="34"/>
      <c r="C61" s="35"/>
      <c r="D61" s="36"/>
      <c r="E61" s="36"/>
      <c r="F61" s="36"/>
      <c r="G61" s="32"/>
      <c r="H61" s="32"/>
      <c r="I61" s="32"/>
      <c r="J61" s="32"/>
      <c r="K61" s="32"/>
      <c r="L61" s="32"/>
      <c r="M61" s="36"/>
      <c r="N61" s="36"/>
      <c r="O61" s="36"/>
      <c r="P61" s="36"/>
      <c r="Q61" s="143"/>
      <c r="R61" s="143"/>
      <c r="S61" s="164"/>
    </row>
    <row r="62" spans="1:19" ht="15.75" x14ac:dyDescent="0.25">
      <c r="A62" s="4"/>
      <c r="B62" s="4"/>
      <c r="S62" s="164"/>
    </row>
    <row r="63" spans="1:19" ht="15.75" x14ac:dyDescent="0.25">
      <c r="C63" s="299" t="s">
        <v>732</v>
      </c>
      <c r="D63" s="300"/>
      <c r="E63" s="300"/>
      <c r="F63" s="300"/>
      <c r="G63" s="300"/>
      <c r="H63" s="300"/>
      <c r="I63" s="301"/>
      <c r="J63" s="299" t="s">
        <v>26</v>
      </c>
      <c r="K63" s="300"/>
      <c r="L63" s="300"/>
      <c r="M63" s="317"/>
      <c r="N63" s="317"/>
      <c r="O63" s="318"/>
      <c r="S63" s="164"/>
    </row>
    <row r="64" spans="1:19" x14ac:dyDescent="0.25">
      <c r="C64" s="171" t="s">
        <v>28</v>
      </c>
      <c r="D64" s="2" t="s">
        <v>27</v>
      </c>
      <c r="G64" s="2" t="s">
        <v>28</v>
      </c>
      <c r="H64" s="2"/>
      <c r="I64" s="172"/>
      <c r="J64" s="304"/>
      <c r="M64" s="2" t="s">
        <v>34</v>
      </c>
      <c r="O64" s="305"/>
      <c r="S64" s="164"/>
    </row>
    <row r="65" spans="1:19" ht="15.75" thickBot="1" x14ac:dyDescent="0.3">
      <c r="C65" s="171" t="s">
        <v>312</v>
      </c>
      <c r="D65" s="2" t="s">
        <v>28</v>
      </c>
      <c r="E65" s="2"/>
      <c r="G65" s="2" t="s">
        <v>312</v>
      </c>
      <c r="H65" s="2"/>
      <c r="I65" s="172"/>
      <c r="J65" s="304"/>
      <c r="K65" s="2" t="s">
        <v>29</v>
      </c>
      <c r="L65" s="2" t="s">
        <v>27</v>
      </c>
      <c r="M65" s="2" t="s">
        <v>39</v>
      </c>
      <c r="N65" s="319" t="s">
        <v>30</v>
      </c>
      <c r="O65" s="305"/>
      <c r="S65" s="164"/>
    </row>
    <row r="66" spans="1:19" ht="15.75" thickBot="1" x14ac:dyDescent="0.3">
      <c r="C66" s="171" t="s">
        <v>283</v>
      </c>
      <c r="D66" s="2" t="s">
        <v>312</v>
      </c>
      <c r="E66" s="2" t="s">
        <v>32</v>
      </c>
      <c r="F66" s="2" t="s">
        <v>27</v>
      </c>
      <c r="G66" s="2" t="s">
        <v>311</v>
      </c>
      <c r="H66" s="2" t="s">
        <v>27</v>
      </c>
      <c r="I66" s="172" t="s">
        <v>27</v>
      </c>
      <c r="J66" s="171" t="s">
        <v>284</v>
      </c>
      <c r="K66" s="2" t="s">
        <v>284</v>
      </c>
      <c r="L66" s="2" t="s">
        <v>33</v>
      </c>
      <c r="M66" s="2" t="s">
        <v>33</v>
      </c>
      <c r="N66" s="2" t="s">
        <v>35</v>
      </c>
      <c r="O66" s="305"/>
      <c r="P66" s="316">
        <f>P48</f>
        <v>7.6083333333333324E-3</v>
      </c>
      <c r="Q66" s="9" t="s">
        <v>36</v>
      </c>
      <c r="R66" s="9" t="s">
        <v>728</v>
      </c>
      <c r="S66" s="164"/>
    </row>
    <row r="67" spans="1:19" ht="15.75" thickBot="1" x14ac:dyDescent="0.3">
      <c r="C67" s="171" t="s">
        <v>31</v>
      </c>
      <c r="D67" s="2" t="s">
        <v>311</v>
      </c>
      <c r="E67" s="2" t="s">
        <v>60</v>
      </c>
      <c r="F67" s="2" t="s">
        <v>15</v>
      </c>
      <c r="G67" s="2" t="s">
        <v>37</v>
      </c>
      <c r="H67" s="2" t="s">
        <v>37</v>
      </c>
      <c r="I67" s="172" t="s">
        <v>40</v>
      </c>
      <c r="J67" s="171" t="s">
        <v>38</v>
      </c>
      <c r="K67" s="2" t="s">
        <v>38</v>
      </c>
      <c r="L67" s="2" t="s">
        <v>38</v>
      </c>
      <c r="M67" s="2" t="s">
        <v>124</v>
      </c>
      <c r="N67" s="2" t="s">
        <v>39</v>
      </c>
      <c r="O67" s="172" t="s">
        <v>40</v>
      </c>
      <c r="P67" s="2" t="s">
        <v>41</v>
      </c>
      <c r="Q67" s="2" t="s">
        <v>42</v>
      </c>
      <c r="R67" s="2" t="s">
        <v>43</v>
      </c>
      <c r="S67" s="164"/>
    </row>
    <row r="68" spans="1:19" ht="15.75" thickBot="1" x14ac:dyDescent="0.3">
      <c r="A68" s="10" t="s">
        <v>341</v>
      </c>
      <c r="B68" s="10" t="s">
        <v>339</v>
      </c>
      <c r="C68" s="302" t="s">
        <v>44</v>
      </c>
      <c r="D68" s="10" t="s">
        <v>44</v>
      </c>
      <c r="E68" s="10" t="s">
        <v>290</v>
      </c>
      <c r="F68" s="10" t="s">
        <v>44</v>
      </c>
      <c r="G68" s="10" t="s">
        <v>45</v>
      </c>
      <c r="H68" s="10" t="s">
        <v>45</v>
      </c>
      <c r="I68" s="303" t="s">
        <v>44</v>
      </c>
      <c r="J68" s="302" t="s">
        <v>292</v>
      </c>
      <c r="K68" s="10" t="s">
        <v>292</v>
      </c>
      <c r="L68" s="10" t="s">
        <v>45</v>
      </c>
      <c r="M68" s="42">
        <v>0.28110000000000002</v>
      </c>
      <c r="N68" s="10" t="s">
        <v>33</v>
      </c>
      <c r="O68" s="303" t="s">
        <v>44</v>
      </c>
      <c r="P68" s="10" t="s">
        <v>46</v>
      </c>
      <c r="Q68" s="10" t="s">
        <v>45</v>
      </c>
      <c r="R68" s="10" t="s">
        <v>47</v>
      </c>
      <c r="S68" s="164"/>
    </row>
    <row r="69" spans="1:19" ht="15.75" x14ac:dyDescent="0.25">
      <c r="A69" s="431"/>
      <c r="B69" s="33"/>
      <c r="C69" s="304"/>
      <c r="D69" s="163"/>
      <c r="E69" s="8"/>
      <c r="F69" s="8"/>
      <c r="H69" s="163"/>
      <c r="I69" s="399"/>
      <c r="J69" s="320"/>
      <c r="K69" s="163"/>
      <c r="L69" s="13"/>
      <c r="M69" s="8"/>
      <c r="N69" s="164"/>
      <c r="O69" s="178"/>
      <c r="R69" s="8"/>
      <c r="S69" s="164"/>
    </row>
    <row r="70" spans="1:19" x14ac:dyDescent="0.25">
      <c r="A70" s="37" t="s">
        <v>73</v>
      </c>
      <c r="B70" s="1">
        <f>+B52+1</f>
        <v>2026</v>
      </c>
      <c r="C70" s="306">
        <v>22364523.007100713</v>
      </c>
      <c r="D70" s="8">
        <f>+D57+C70</f>
        <v>123161684.04710072</v>
      </c>
      <c r="E70" s="8">
        <v>34458438.200000003</v>
      </c>
      <c r="F70" s="8">
        <f t="shared" ref="F70:F75" si="31">+D70+E70</f>
        <v>157620122.24710071</v>
      </c>
      <c r="G70" s="163">
        <f>ROUND(C70/120,2)+G57</f>
        <v>1026347.37</v>
      </c>
      <c r="H70" s="163">
        <f>+H57+G70</f>
        <v>4837822.91</v>
      </c>
      <c r="I70" s="429">
        <f t="shared" ref="I70:I75" si="32">+F70-H70</f>
        <v>152782299.33710071</v>
      </c>
      <c r="J70" s="163">
        <f>G70</f>
        <v>1026347.37</v>
      </c>
      <c r="K70" s="163">
        <f>+K57+J70</f>
        <v>4837822.91</v>
      </c>
      <c r="L70" s="163">
        <f t="shared" ref="L70:L75" si="33">D70</f>
        <v>123161684.04710072</v>
      </c>
      <c r="M70" s="163">
        <f>N70-N57</f>
        <v>5998161.1715890132</v>
      </c>
      <c r="N70" s="430">
        <f>(($L$70-$K$70)*$M$68)</f>
        <v>33260837.365639016</v>
      </c>
      <c r="O70" s="403">
        <f>+I70-N70</f>
        <v>119521461.9714617</v>
      </c>
      <c r="P70" s="8">
        <f t="shared" ref="P70:P72" si="34">ROUND(O70*$P$66,2)</f>
        <v>909359.12</v>
      </c>
      <c r="Q70" s="8">
        <f>1389343.47+0.01</f>
        <v>1389343.48</v>
      </c>
      <c r="R70" s="8">
        <f t="shared" ref="R70" si="35">+G70+P70+Q70</f>
        <v>3325049.9699999997</v>
      </c>
      <c r="S70" s="163"/>
    </row>
    <row r="71" spans="1:19" x14ac:dyDescent="0.25">
      <c r="A71" s="37" t="s">
        <v>74</v>
      </c>
      <c r="B71" s="1">
        <f t="shared" ref="B71:B76" si="36">+B70</f>
        <v>2026</v>
      </c>
      <c r="C71" s="307">
        <v>21797160.750279892</v>
      </c>
      <c r="D71" s="308">
        <f>+D70+C71</f>
        <v>144958844.79738063</v>
      </c>
      <c r="E71" s="312">
        <v>36933438.200000003</v>
      </c>
      <c r="F71" s="312">
        <f t="shared" si="31"/>
        <v>181892282.99738061</v>
      </c>
      <c r="G71" s="312">
        <f>ROUND(C71/120,2)+G70</f>
        <v>1207990.3799999999</v>
      </c>
      <c r="H71" s="312">
        <f>+G71+H70</f>
        <v>6045813.29</v>
      </c>
      <c r="I71" s="402">
        <f t="shared" si="32"/>
        <v>175846469.70738062</v>
      </c>
      <c r="J71" s="308">
        <f t="shared" ref="J71:J75" si="37">G71</f>
        <v>1207990.3799999999</v>
      </c>
      <c r="K71" s="312">
        <f>+K70+J71</f>
        <v>6045813.29</v>
      </c>
      <c r="L71" s="308">
        <f t="shared" si="33"/>
        <v>144958844.79738063</v>
      </c>
      <c r="M71" s="312">
        <f>N71-N70</f>
        <v>5787615.7910856828</v>
      </c>
      <c r="N71" s="312">
        <f>(($L$71-$K$71)*$M$68)</f>
        <v>39048453.156724699</v>
      </c>
      <c r="O71" s="402">
        <f>+I71-N71</f>
        <v>136798016.55065593</v>
      </c>
      <c r="P71" s="38">
        <f t="shared" si="34"/>
        <v>1040804.91</v>
      </c>
      <c r="Q71" s="38">
        <f>671734.31-0.01</f>
        <v>671734.3</v>
      </c>
      <c r="R71" s="38">
        <f>+G71+P71+Q71</f>
        <v>2920529.59</v>
      </c>
      <c r="S71" s="163"/>
    </row>
    <row r="72" spans="1:19" x14ac:dyDescent="0.25">
      <c r="A72" s="37" t="s">
        <v>75</v>
      </c>
      <c r="B72" s="1">
        <f t="shared" si="36"/>
        <v>2026</v>
      </c>
      <c r="C72" s="307">
        <v>17642592.203910045</v>
      </c>
      <c r="D72" s="308">
        <f>+D71+C72</f>
        <v>162601437.00129068</v>
      </c>
      <c r="E72" s="312">
        <v>39893438.200000003</v>
      </c>
      <c r="F72" s="312">
        <f t="shared" si="31"/>
        <v>202494875.20129067</v>
      </c>
      <c r="G72" s="312">
        <f>ROUND(C72/120,2)+G71</f>
        <v>1355011.98</v>
      </c>
      <c r="H72" s="312">
        <f>+G72+H71</f>
        <v>7400825.2699999996</v>
      </c>
      <c r="I72" s="402">
        <f t="shared" si="32"/>
        <v>195094049.93129066</v>
      </c>
      <c r="J72" s="308">
        <f t="shared" si="37"/>
        <v>1355011.98</v>
      </c>
      <c r="K72" s="312">
        <f>+K71+J72</f>
        <v>7400825.2699999996</v>
      </c>
      <c r="L72" s="308">
        <f t="shared" si="33"/>
        <v>162601437.00129068</v>
      </c>
      <c r="M72" s="312">
        <f t="shared" ref="M72:M75" si="38">N72-N71</f>
        <v>4578438.8009411097</v>
      </c>
      <c r="N72" s="312">
        <f>(($L$72-$K$72)*$M$68)</f>
        <v>43626891.957665808</v>
      </c>
      <c r="O72" s="402">
        <f>+I72-N72</f>
        <v>151467157.97362486</v>
      </c>
      <c r="P72" s="38">
        <f t="shared" si="34"/>
        <v>1152412.6299999999</v>
      </c>
      <c r="Q72" s="38">
        <f>657164.2-0.01</f>
        <v>657164.18999999994</v>
      </c>
      <c r="R72" s="38">
        <f t="shared" ref="R72:R75" si="39">+G72+P72+Q72</f>
        <v>3164588.8</v>
      </c>
      <c r="S72" s="163"/>
    </row>
    <row r="73" spans="1:19" x14ac:dyDescent="0.25">
      <c r="A73" s="37" t="s">
        <v>76</v>
      </c>
      <c r="B73" s="1">
        <f t="shared" si="36"/>
        <v>2026</v>
      </c>
      <c r="C73" s="307">
        <v>15145468.025599435</v>
      </c>
      <c r="D73" s="308">
        <f>+D72+C73</f>
        <v>177746905.0268901</v>
      </c>
      <c r="E73" s="312">
        <v>43823438.200000003</v>
      </c>
      <c r="F73" s="312">
        <f t="shared" si="31"/>
        <v>221570343.22689009</v>
      </c>
      <c r="G73" s="312">
        <f>ROUND(C73/120,2)+G72</f>
        <v>1481224.21</v>
      </c>
      <c r="H73" s="312">
        <f>+G73+H72</f>
        <v>8882049.4800000004</v>
      </c>
      <c r="I73" s="402">
        <f t="shared" si="32"/>
        <v>212688293.7468901</v>
      </c>
      <c r="J73" s="308">
        <f t="shared" si="37"/>
        <v>1481224.21</v>
      </c>
      <c r="K73" s="312">
        <f>+K72+J73</f>
        <v>8882049.4800000004</v>
      </c>
      <c r="L73" s="308">
        <f t="shared" si="33"/>
        <v>177746905.0268901</v>
      </c>
      <c r="M73" s="312">
        <f t="shared" si="38"/>
        <v>3841018.9365650043</v>
      </c>
      <c r="N73" s="312">
        <f>(($L$73-$K$73)*$M$68)</f>
        <v>47467910.894230813</v>
      </c>
      <c r="O73" s="402">
        <f t="shared" ref="O73:O75" si="40">+I73-N73</f>
        <v>165220382.85265929</v>
      </c>
      <c r="P73" s="38">
        <f>ROUND(O73*$P$66,2)</f>
        <v>1257051.75</v>
      </c>
      <c r="Q73" s="38">
        <f>631459.97-0.01</f>
        <v>631459.96</v>
      </c>
      <c r="R73" s="38">
        <f t="shared" si="39"/>
        <v>3369735.92</v>
      </c>
      <c r="S73" s="163"/>
    </row>
    <row r="74" spans="1:19" x14ac:dyDescent="0.25">
      <c r="A74" s="37" t="s">
        <v>77</v>
      </c>
      <c r="B74" s="1">
        <f t="shared" si="36"/>
        <v>2026</v>
      </c>
      <c r="C74" s="307">
        <v>15935903.15472397</v>
      </c>
      <c r="D74" s="308">
        <f>+D73+C74</f>
        <v>193682808.18161407</v>
      </c>
      <c r="E74" s="312">
        <v>49213438.200000003</v>
      </c>
      <c r="F74" s="312">
        <f t="shared" si="31"/>
        <v>242896246.38161409</v>
      </c>
      <c r="G74" s="312">
        <f>ROUND(C74/120,2)+G73</f>
        <v>1614023.4</v>
      </c>
      <c r="H74" s="312">
        <f>+G74+H73</f>
        <v>10496072.880000001</v>
      </c>
      <c r="I74" s="402">
        <f t="shared" si="32"/>
        <v>232400173.50161409</v>
      </c>
      <c r="J74" s="308">
        <f t="shared" si="37"/>
        <v>1614023.4</v>
      </c>
      <c r="K74" s="312">
        <f>+K73+J74</f>
        <v>10496072.880000001</v>
      </c>
      <c r="L74" s="308">
        <f t="shared" si="33"/>
        <v>193682808.18161407</v>
      </c>
      <c r="M74" s="312">
        <f t="shared" si="38"/>
        <v>4025880.3990529105</v>
      </c>
      <c r="N74" s="312">
        <f>(($L$74-$K$74)*$M$68)</f>
        <v>51493791.293283723</v>
      </c>
      <c r="O74" s="402">
        <f t="shared" si="40"/>
        <v>180906382.20833036</v>
      </c>
      <c r="P74" s="38">
        <f>ROUND(O74*$P$66,2)</f>
        <v>1376396.06</v>
      </c>
      <c r="Q74" s="38">
        <f>598257.76-0.01</f>
        <v>598257.75</v>
      </c>
      <c r="R74" s="38">
        <f t="shared" si="39"/>
        <v>3588677.21</v>
      </c>
      <c r="S74" s="163"/>
    </row>
    <row r="75" spans="1:19" x14ac:dyDescent="0.25">
      <c r="A75" s="37" t="s">
        <v>78</v>
      </c>
      <c r="B75" s="1">
        <f t="shared" si="36"/>
        <v>2026</v>
      </c>
      <c r="C75" s="311">
        <v>17524992.172878321</v>
      </c>
      <c r="D75" s="312">
        <f>+D74+C75</f>
        <v>211207800.3544924</v>
      </c>
      <c r="E75" s="312">
        <v>55553438.200000003</v>
      </c>
      <c r="F75" s="312">
        <f t="shared" si="31"/>
        <v>266761238.55449241</v>
      </c>
      <c r="G75" s="312">
        <f>ROUND(C75/120,2)+G74</f>
        <v>1760065</v>
      </c>
      <c r="H75" s="308">
        <f>+G75+H74</f>
        <v>12256137.880000001</v>
      </c>
      <c r="I75" s="404">
        <f t="shared" si="32"/>
        <v>254505100.67449242</v>
      </c>
      <c r="J75" s="308">
        <f t="shared" si="37"/>
        <v>1760065</v>
      </c>
      <c r="K75" s="308">
        <f>+K74+J75</f>
        <v>12256137.880000001</v>
      </c>
      <c r="L75" s="308">
        <f t="shared" si="33"/>
        <v>211207800.3544924</v>
      </c>
      <c r="M75" s="312">
        <f t="shared" si="38"/>
        <v>4431521.0282960907</v>
      </c>
      <c r="N75" s="312">
        <f>(($L$75-$K$75)*$M$68)</f>
        <v>55925312.321579814</v>
      </c>
      <c r="O75" s="404">
        <f t="shared" si="40"/>
        <v>198579788.3529126</v>
      </c>
      <c r="P75" s="38">
        <f>ROUND(O75*$P$66,2)</f>
        <v>1510861.22</v>
      </c>
      <c r="Q75" s="38">
        <v>2096413.11</v>
      </c>
      <c r="R75" s="38">
        <f t="shared" si="39"/>
        <v>5367339.33</v>
      </c>
      <c r="S75" s="163"/>
    </row>
    <row r="76" spans="1:19" ht="15.75" thickBot="1" x14ac:dyDescent="0.3">
      <c r="A76" s="1" t="s">
        <v>15</v>
      </c>
      <c r="B76" s="1">
        <f t="shared" si="36"/>
        <v>2026</v>
      </c>
      <c r="C76" s="313">
        <f>+C58+SUM(C70:C75)</f>
        <v>189504026.36449236</v>
      </c>
      <c r="D76" s="314"/>
      <c r="E76" s="163"/>
      <c r="F76" s="14"/>
      <c r="G76" s="144">
        <f>SUM(G70:G75)</f>
        <v>8444662.3399999999</v>
      </c>
      <c r="H76" s="14"/>
      <c r="I76" s="315"/>
      <c r="J76" s="313">
        <f>SUM(J70:J75)</f>
        <v>8444662.3399999999</v>
      </c>
      <c r="K76" s="8"/>
      <c r="L76" s="163"/>
      <c r="M76" s="144">
        <f>+M58+SUM(M70:M75)</f>
        <v>49933609.789916813</v>
      </c>
      <c r="O76" s="305"/>
      <c r="P76" s="144">
        <f>+P58+SUM(P70:P75)</f>
        <v>10954576.48</v>
      </c>
      <c r="Q76" s="144">
        <f>+Q58+SUM(Q70:Q75)</f>
        <v>15018208.829999998</v>
      </c>
      <c r="R76" s="144">
        <f>+R58+SUM(R70:R75)</f>
        <v>38228923.189999998</v>
      </c>
      <c r="S76" s="163"/>
    </row>
    <row r="77" spans="1:19" ht="15.75" thickTop="1" x14ac:dyDescent="0.25">
      <c r="I77" s="13"/>
      <c r="O77" s="309"/>
      <c r="Q77" s="120"/>
      <c r="R77" s="8"/>
      <c r="S77" s="164"/>
    </row>
    <row r="78" spans="1:19" x14ac:dyDescent="0.25">
      <c r="D78" s="15"/>
    </row>
  </sheetData>
  <printOptions horizontalCentered="1"/>
  <pageMargins left="0.1" right="0.1" top="0.75" bottom="0.5" header="0.3" footer="0.3"/>
  <pageSetup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DEF52-3D56-4CB7-9D54-0CD14C07A191}">
  <sheetPr>
    <pageSetUpPr fitToPage="1"/>
  </sheetPr>
  <dimension ref="A1:O96"/>
  <sheetViews>
    <sheetView view="pageBreakPreview" zoomScale="96" zoomScaleNormal="100" zoomScaleSheetLayoutView="96" workbookViewId="0">
      <selection activeCell="P3" sqref="P1:S1048576"/>
    </sheetView>
  </sheetViews>
  <sheetFormatPr defaultRowHeight="15" x14ac:dyDescent="0.25"/>
  <cols>
    <col min="1" max="1" width="7.28515625" customWidth="1"/>
    <col min="2" max="2" width="5.5703125" bestFit="1" customWidth="1"/>
    <col min="3" max="3" width="15.7109375" bestFit="1" customWidth="1"/>
    <col min="4" max="4" width="14.7109375" bestFit="1" customWidth="1"/>
    <col min="5" max="5" width="15.140625" bestFit="1" customWidth="1"/>
    <col min="6" max="6" width="14.85546875" bestFit="1" customWidth="1"/>
    <col min="7" max="7" width="16" bestFit="1" customWidth="1"/>
    <col min="8" max="8" width="16.140625" bestFit="1" customWidth="1"/>
    <col min="9" max="9" width="7.85546875" bestFit="1" customWidth="1"/>
    <col min="10" max="11" width="13.7109375" bestFit="1" customWidth="1"/>
    <col min="12" max="12" width="8.85546875" bestFit="1" customWidth="1"/>
    <col min="13" max="13" width="9.5703125" bestFit="1" customWidth="1"/>
    <col min="14" max="14" width="11.85546875" bestFit="1" customWidth="1"/>
    <col min="15" max="15" width="16.5703125" bestFit="1" customWidth="1"/>
    <col min="26" max="26" width="14.28515625" bestFit="1" customWidth="1"/>
  </cols>
  <sheetData>
    <row r="1" spans="1:15" ht="18.75" x14ac:dyDescent="0.3">
      <c r="O1" s="146" t="str">
        <f>+'Monthly Revenue Req.(EE&amp;C2_p2)'!R1</f>
        <v>Attachment EE&amp;C2-1</v>
      </c>
    </row>
    <row r="2" spans="1:15" ht="18.75" x14ac:dyDescent="0.3">
      <c r="O2" s="146" t="s">
        <v>323</v>
      </c>
    </row>
    <row r="3" spans="1:15" ht="18.75" x14ac:dyDescent="0.25">
      <c r="A3" s="166" t="s">
        <v>0</v>
      </c>
      <c r="B3" s="53"/>
      <c r="C3" s="54"/>
      <c r="D3" s="54"/>
      <c r="E3" s="54"/>
      <c r="F3" s="54"/>
      <c r="G3" s="54"/>
      <c r="H3" s="54"/>
      <c r="I3" s="54"/>
      <c r="J3" s="54"/>
      <c r="K3" s="55"/>
      <c r="L3" s="55"/>
      <c r="M3" s="55"/>
      <c r="N3" s="55"/>
      <c r="O3" s="55"/>
    </row>
    <row r="4" spans="1:15" ht="18.75" x14ac:dyDescent="0.3">
      <c r="A4" s="147" t="str">
        <f>+'Revs by Rate Class (EE&amp;C2_p1)'!B5</f>
        <v xml:space="preserve">Energy Efficiency &amp; Conservation Triennium 2 Program ("EE&amp;C2")  </v>
      </c>
      <c r="B4" s="3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5" ht="18.75" x14ac:dyDescent="0.3">
      <c r="A5" s="147" t="s">
        <v>711</v>
      </c>
      <c r="B5" s="3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</row>
    <row r="6" spans="1:15" ht="15.75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</row>
    <row r="7" spans="1:15" ht="18.75" hidden="1" x14ac:dyDescent="0.3">
      <c r="A7" s="34" t="s">
        <v>335</v>
      </c>
      <c r="B7" s="3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145"/>
      <c r="O7" s="64"/>
    </row>
    <row r="8" spans="1:15" ht="15.75" hidden="1" x14ac:dyDescent="0.25">
      <c r="A8" s="44"/>
      <c r="B8" s="44"/>
      <c r="C8" s="44"/>
      <c r="D8" s="44"/>
      <c r="E8" s="24" t="s">
        <v>48</v>
      </c>
      <c r="F8" s="24" t="s">
        <v>49</v>
      </c>
      <c r="G8" s="24" t="s">
        <v>50</v>
      </c>
      <c r="H8" s="44"/>
      <c r="I8" s="44"/>
      <c r="J8" s="44"/>
      <c r="K8" s="44"/>
      <c r="L8" s="24" t="s">
        <v>125</v>
      </c>
      <c r="M8" s="24" t="s">
        <v>55</v>
      </c>
      <c r="N8" s="44"/>
      <c r="O8" s="24" t="s">
        <v>34</v>
      </c>
    </row>
    <row r="9" spans="1:15" ht="15.75" hidden="1" x14ac:dyDescent="0.25">
      <c r="A9" s="44"/>
      <c r="B9" s="44"/>
      <c r="C9" s="44"/>
      <c r="D9" s="24" t="s">
        <v>51</v>
      </c>
      <c r="E9" s="24" t="s">
        <v>728</v>
      </c>
      <c r="F9" s="24" t="s">
        <v>52</v>
      </c>
      <c r="G9" s="24" t="s">
        <v>728</v>
      </c>
      <c r="H9" s="24" t="s">
        <v>53</v>
      </c>
      <c r="I9" s="44"/>
      <c r="J9" s="44"/>
      <c r="K9" s="24" t="s">
        <v>54</v>
      </c>
      <c r="L9" s="24" t="s">
        <v>56</v>
      </c>
      <c r="M9" s="24" t="s">
        <v>56</v>
      </c>
      <c r="N9" s="24" t="s">
        <v>56</v>
      </c>
      <c r="O9" s="24" t="s">
        <v>728</v>
      </c>
    </row>
    <row r="10" spans="1:15" ht="15.75" hidden="1" x14ac:dyDescent="0.25">
      <c r="A10" s="44"/>
      <c r="B10" s="44"/>
      <c r="C10" s="24" t="s">
        <v>20</v>
      </c>
      <c r="D10" s="24" t="s">
        <v>43</v>
      </c>
      <c r="E10" s="24" t="s">
        <v>57</v>
      </c>
      <c r="F10" s="24" t="s">
        <v>118</v>
      </c>
      <c r="G10" s="24" t="s">
        <v>57</v>
      </c>
      <c r="H10" s="24" t="s">
        <v>58</v>
      </c>
      <c r="I10" s="24" t="s">
        <v>33</v>
      </c>
      <c r="J10" s="24" t="s">
        <v>34</v>
      </c>
      <c r="K10" s="24" t="s">
        <v>59</v>
      </c>
      <c r="L10" s="25" t="s">
        <v>126</v>
      </c>
      <c r="M10" s="25" t="s">
        <v>65</v>
      </c>
      <c r="N10" s="24" t="s">
        <v>355</v>
      </c>
      <c r="O10" s="24" t="s">
        <v>118</v>
      </c>
    </row>
    <row r="11" spans="1:15" ht="15.75" hidden="1" x14ac:dyDescent="0.25">
      <c r="A11" s="25" t="s">
        <v>341</v>
      </c>
      <c r="B11" s="25" t="s">
        <v>339</v>
      </c>
      <c r="C11" s="25" t="s">
        <v>24</v>
      </c>
      <c r="D11" s="25" t="s">
        <v>47</v>
      </c>
      <c r="E11" s="25" t="s">
        <v>60</v>
      </c>
      <c r="F11" s="25" t="s">
        <v>61</v>
      </c>
      <c r="G11" s="25" t="s">
        <v>60</v>
      </c>
      <c r="H11" s="25" t="s">
        <v>62</v>
      </c>
      <c r="I11" s="25" t="s">
        <v>63</v>
      </c>
      <c r="J11" s="25" t="s">
        <v>33</v>
      </c>
      <c r="K11" s="25" t="s">
        <v>64</v>
      </c>
      <c r="L11" s="25" t="s">
        <v>270</v>
      </c>
      <c r="M11" s="25" t="s">
        <v>271</v>
      </c>
      <c r="N11" s="25" t="s">
        <v>45</v>
      </c>
      <c r="O11" s="25" t="s">
        <v>62</v>
      </c>
    </row>
    <row r="12" spans="1:15" ht="15.75" hidden="1" x14ac:dyDescent="0.25">
      <c r="A12" s="46"/>
      <c r="B12" s="46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47">
        <v>0</v>
      </c>
      <c r="O12" s="24"/>
    </row>
    <row r="13" spans="1:15" ht="15.75" hidden="1" x14ac:dyDescent="0.25">
      <c r="A13" s="26" t="s">
        <v>79</v>
      </c>
      <c r="B13" s="46">
        <v>2024</v>
      </c>
      <c r="C13" s="27">
        <f>'Revs by Rate Class (EE&amp;C2_p1)'!H18</f>
        <v>0</v>
      </c>
      <c r="D13" s="27">
        <f>+'Monthly Revenue Req.(EE&amp;C2_p2)'!R16</f>
        <v>0</v>
      </c>
      <c r="E13" s="27">
        <v>0</v>
      </c>
      <c r="F13" s="27">
        <f t="shared" ref="F13:F18" si="0">ROUND(-D13+C13,2)</f>
        <v>0</v>
      </c>
      <c r="G13" s="47">
        <f t="shared" ref="G13:G18" si="1">SUM(E13:F13)</f>
        <v>0</v>
      </c>
      <c r="H13" s="47">
        <f t="shared" ref="H13:H18" si="2">(G13+E13)/2</f>
        <v>0</v>
      </c>
      <c r="I13" s="62">
        <v>0.28110000000000002</v>
      </c>
      <c r="J13" s="47">
        <f t="shared" ref="J13:J18" si="3">ROUND(H13*I13,2)</f>
        <v>0</v>
      </c>
      <c r="K13" s="47">
        <f t="shared" ref="K13:K18" si="4">H13-J13</f>
        <v>0</v>
      </c>
      <c r="L13" s="74">
        <v>5.3699999999999998E-2</v>
      </c>
      <c r="M13" s="68">
        <f t="shared" ref="M13:M18" si="5">+L13/12</f>
        <v>4.4749999999999998E-3</v>
      </c>
      <c r="N13" s="28">
        <f t="shared" ref="N13:N18" si="6">ROUND(K13*M13,2)</f>
        <v>0</v>
      </c>
      <c r="O13" s="47">
        <f>SUM(N$12:N13)+G13</f>
        <v>0</v>
      </c>
    </row>
    <row r="14" spans="1:15" ht="15.75" hidden="1" x14ac:dyDescent="0.25">
      <c r="A14" s="26" t="s">
        <v>80</v>
      </c>
      <c r="B14" s="46">
        <f t="shared" ref="B14:B19" si="7">+B13</f>
        <v>2024</v>
      </c>
      <c r="C14" s="28">
        <f>'Revs by Rate Class (EE&amp;C2_p1)'!H19</f>
        <v>0</v>
      </c>
      <c r="D14" s="28">
        <f>+'Monthly Revenue Req.(EE&amp;C2_p2)'!R17</f>
        <v>0</v>
      </c>
      <c r="E14" s="28">
        <f>+G13</f>
        <v>0</v>
      </c>
      <c r="F14" s="28">
        <f t="shared" si="0"/>
        <v>0</v>
      </c>
      <c r="G14" s="28">
        <f t="shared" si="1"/>
        <v>0</v>
      </c>
      <c r="H14" s="28">
        <f t="shared" si="2"/>
        <v>0</v>
      </c>
      <c r="I14" s="62">
        <v>0.28110000000000002</v>
      </c>
      <c r="J14" s="28">
        <f t="shared" si="3"/>
        <v>0</v>
      </c>
      <c r="K14" s="28">
        <f t="shared" si="4"/>
        <v>0</v>
      </c>
      <c r="L14" s="74">
        <v>4.7599999999999996E-2</v>
      </c>
      <c r="M14" s="68">
        <f t="shared" si="5"/>
        <v>3.9666666666666661E-3</v>
      </c>
      <c r="N14" s="28">
        <f t="shared" si="6"/>
        <v>0</v>
      </c>
      <c r="O14" s="28">
        <f>SUM(N$12:N14)+G14</f>
        <v>0</v>
      </c>
    </row>
    <row r="15" spans="1:15" ht="15.75" hidden="1" x14ac:dyDescent="0.25">
      <c r="A15" s="26" t="s">
        <v>81</v>
      </c>
      <c r="B15" s="46">
        <f t="shared" si="7"/>
        <v>2024</v>
      </c>
      <c r="C15" s="28">
        <f>'Revs by Rate Class (EE&amp;C2_p1)'!H20</f>
        <v>0</v>
      </c>
      <c r="D15" s="28">
        <f>+'Monthly Revenue Req.(EE&amp;C2_p2)'!R18</f>
        <v>0</v>
      </c>
      <c r="E15" s="28">
        <f>+G14</f>
        <v>0</v>
      </c>
      <c r="F15" s="28">
        <f t="shared" si="0"/>
        <v>0</v>
      </c>
      <c r="G15" s="28">
        <f t="shared" si="1"/>
        <v>0</v>
      </c>
      <c r="H15" s="28">
        <f t="shared" si="2"/>
        <v>0</v>
      </c>
      <c r="I15" s="62">
        <v>0.28110000000000002</v>
      </c>
      <c r="J15" s="28">
        <f t="shared" si="3"/>
        <v>0</v>
      </c>
      <c r="K15" s="28">
        <f t="shared" si="4"/>
        <v>0</v>
      </c>
      <c r="L15" s="74">
        <v>4.48E-2</v>
      </c>
      <c r="M15" s="68">
        <f t="shared" si="5"/>
        <v>3.7333333333333333E-3</v>
      </c>
      <c r="N15" s="28">
        <f t="shared" si="6"/>
        <v>0</v>
      </c>
      <c r="O15" s="28">
        <f>SUM(N$12:N15)+G15</f>
        <v>0</v>
      </c>
    </row>
    <row r="16" spans="1:15" ht="15.75" hidden="1" x14ac:dyDescent="0.25">
      <c r="A16" s="26" t="s">
        <v>82</v>
      </c>
      <c r="B16" s="46">
        <f t="shared" si="7"/>
        <v>2024</v>
      </c>
      <c r="C16" s="28">
        <f>'Revs by Rate Class (EE&amp;C2_p1)'!H21</f>
        <v>0</v>
      </c>
      <c r="D16" s="28">
        <f>+'Monthly Revenue Req.(EE&amp;C2_p2)'!R19</f>
        <v>0</v>
      </c>
      <c r="E16" s="28">
        <f>+G15</f>
        <v>0</v>
      </c>
      <c r="F16" s="28">
        <f t="shared" si="0"/>
        <v>0</v>
      </c>
      <c r="G16" s="28">
        <f t="shared" si="1"/>
        <v>0</v>
      </c>
      <c r="H16" s="28">
        <f t="shared" si="2"/>
        <v>0</v>
      </c>
      <c r="I16" s="62">
        <v>0.28110000000000002</v>
      </c>
      <c r="J16" s="28">
        <f t="shared" si="3"/>
        <v>0</v>
      </c>
      <c r="K16" s="28">
        <f t="shared" si="4"/>
        <v>0</v>
      </c>
      <c r="L16" s="74">
        <v>4.2099999999999999E-2</v>
      </c>
      <c r="M16" s="68">
        <f t="shared" si="5"/>
        <v>3.5083333333333334E-3</v>
      </c>
      <c r="N16" s="28">
        <f t="shared" si="6"/>
        <v>0</v>
      </c>
      <c r="O16" s="28">
        <f>SUM(N$12:N16)+G16</f>
        <v>0</v>
      </c>
    </row>
    <row r="17" spans="1:15" ht="15.75" hidden="1" x14ac:dyDescent="0.25">
      <c r="A17" s="26" t="s">
        <v>83</v>
      </c>
      <c r="B17" s="46">
        <f t="shared" si="7"/>
        <v>2024</v>
      </c>
      <c r="C17" s="28">
        <f>'Revs by Rate Class (EE&amp;C2_p1)'!H22</f>
        <v>0</v>
      </c>
      <c r="D17" s="28">
        <f>+'Monthly Revenue Req.(EE&amp;C2_p2)'!R20</f>
        <v>0</v>
      </c>
      <c r="E17" s="28">
        <f>+G16</f>
        <v>0</v>
      </c>
      <c r="F17" s="28">
        <f t="shared" si="0"/>
        <v>0</v>
      </c>
      <c r="G17" s="28">
        <f t="shared" si="1"/>
        <v>0</v>
      </c>
      <c r="H17" s="28">
        <f t="shared" si="2"/>
        <v>0</v>
      </c>
      <c r="I17" s="62">
        <v>0.28110000000000002</v>
      </c>
      <c r="J17" s="28">
        <f t="shared" si="3"/>
        <v>0</v>
      </c>
      <c r="K17" s="28">
        <f t="shared" si="4"/>
        <v>0</v>
      </c>
      <c r="L17" s="74">
        <v>4.8099999999999997E-2</v>
      </c>
      <c r="M17" s="68">
        <f t="shared" si="5"/>
        <v>4.0083333333333334E-3</v>
      </c>
      <c r="N17" s="28">
        <f>ROUND(K17*M17,2)</f>
        <v>0</v>
      </c>
      <c r="O17" s="28">
        <f>SUM(N$12:N17)+G17</f>
        <v>0</v>
      </c>
    </row>
    <row r="18" spans="1:15" ht="15.75" hidden="1" x14ac:dyDescent="0.25">
      <c r="A18" s="26" t="s">
        <v>84</v>
      </c>
      <c r="B18" s="46">
        <f t="shared" si="7"/>
        <v>2024</v>
      </c>
      <c r="C18" s="28">
        <f>'Revs by Rate Class (EE&amp;C2_p1)'!H23</f>
        <v>0</v>
      </c>
      <c r="D18" s="28">
        <f>+'Monthly Revenue Req.(EE&amp;C2_p2)'!R21</f>
        <v>0</v>
      </c>
      <c r="E18" s="28">
        <f>+G17</f>
        <v>0</v>
      </c>
      <c r="F18" s="28">
        <f t="shared" si="0"/>
        <v>0</v>
      </c>
      <c r="G18" s="28">
        <f t="shared" si="1"/>
        <v>0</v>
      </c>
      <c r="H18" s="28">
        <f t="shared" si="2"/>
        <v>0</v>
      </c>
      <c r="I18" s="62">
        <v>0.28110000000000002</v>
      </c>
      <c r="J18" s="28">
        <f t="shared" si="3"/>
        <v>0</v>
      </c>
      <c r="K18" s="28">
        <f t="shared" si="4"/>
        <v>0</v>
      </c>
      <c r="L18" s="74">
        <v>4.7699999999999999E-2</v>
      </c>
      <c r="M18" s="68">
        <f t="shared" si="5"/>
        <v>3.9750000000000002E-3</v>
      </c>
      <c r="N18" s="28">
        <f t="shared" si="6"/>
        <v>0</v>
      </c>
      <c r="O18" s="28">
        <f>SUM(N$12:N18)+G18</f>
        <v>0</v>
      </c>
    </row>
    <row r="19" spans="1:15" ht="16.5" hidden="1" thickBot="1" x14ac:dyDescent="0.3">
      <c r="A19" s="46" t="s">
        <v>15</v>
      </c>
      <c r="B19" s="46">
        <f t="shared" si="7"/>
        <v>2024</v>
      </c>
      <c r="C19" s="63">
        <f>SUM(C13:C18)</f>
        <v>0</v>
      </c>
      <c r="D19" s="63">
        <f>SUM(D13:D18)</f>
        <v>0</v>
      </c>
      <c r="E19" s="44"/>
      <c r="F19" s="44"/>
      <c r="G19" s="28"/>
      <c r="H19" s="28"/>
      <c r="I19" s="44"/>
      <c r="J19" s="44"/>
      <c r="K19" s="44"/>
      <c r="L19" s="44"/>
      <c r="M19" s="44"/>
      <c r="N19" s="48">
        <f>SUM(N12:N18)</f>
        <v>0</v>
      </c>
      <c r="O19" s="44"/>
    </row>
    <row r="20" spans="1:15" ht="15.75" hidden="1" x14ac:dyDescent="0.25">
      <c r="A20" s="46"/>
      <c r="B20" s="46"/>
      <c r="C20" s="47"/>
      <c r="D20" s="47"/>
      <c r="E20" s="44"/>
      <c r="F20" s="44"/>
      <c r="G20" s="28"/>
      <c r="H20" s="28"/>
      <c r="I20" s="44"/>
      <c r="J20" s="44"/>
      <c r="K20" s="44"/>
      <c r="L20" s="44"/>
      <c r="M20" s="44"/>
      <c r="N20" s="165"/>
      <c r="O20" s="44"/>
    </row>
    <row r="21" spans="1:15" ht="15.75" hidden="1" x14ac:dyDescent="0.25">
      <c r="A21" s="46"/>
      <c r="B21" s="46"/>
      <c r="C21" s="45"/>
      <c r="D21" s="44"/>
      <c r="E21" s="47"/>
      <c r="F21" s="44"/>
      <c r="G21" s="44"/>
      <c r="H21" s="44"/>
      <c r="I21" s="44"/>
      <c r="J21" s="44"/>
      <c r="K21" s="44"/>
      <c r="L21" s="44"/>
      <c r="M21" s="44"/>
      <c r="N21" s="44"/>
      <c r="O21" s="73"/>
    </row>
    <row r="22" spans="1:15" ht="18.75" hidden="1" x14ac:dyDescent="0.3">
      <c r="A22" s="34" t="s">
        <v>335</v>
      </c>
      <c r="B22" s="3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145"/>
      <c r="O22" s="64"/>
    </row>
    <row r="23" spans="1:15" ht="15.75" hidden="1" x14ac:dyDescent="0.25">
      <c r="A23" s="46"/>
      <c r="B23" s="46"/>
      <c r="C23" s="24"/>
      <c r="D23" s="24"/>
      <c r="E23" s="24" t="s">
        <v>58</v>
      </c>
      <c r="F23" s="24" t="s">
        <v>49</v>
      </c>
      <c r="G23" s="24" t="s">
        <v>50</v>
      </c>
      <c r="H23" s="44"/>
      <c r="I23" s="44"/>
      <c r="J23" s="44"/>
      <c r="K23" s="44"/>
      <c r="L23" s="24" t="s">
        <v>125</v>
      </c>
      <c r="M23" s="24" t="s">
        <v>55</v>
      </c>
      <c r="N23" s="44"/>
      <c r="O23" s="24" t="s">
        <v>34</v>
      </c>
    </row>
    <row r="24" spans="1:15" ht="15.75" hidden="1" x14ac:dyDescent="0.25">
      <c r="A24" s="46"/>
      <c r="B24" s="46"/>
      <c r="C24" s="24"/>
      <c r="D24" s="24" t="s">
        <v>20</v>
      </c>
      <c r="E24" s="24" t="s">
        <v>728</v>
      </c>
      <c r="F24" s="24" t="s">
        <v>52</v>
      </c>
      <c r="G24" s="24" t="s">
        <v>728</v>
      </c>
      <c r="H24" s="24" t="s">
        <v>53</v>
      </c>
      <c r="I24" s="44"/>
      <c r="J24" s="44"/>
      <c r="K24" s="24" t="s">
        <v>54</v>
      </c>
      <c r="L24" s="24" t="s">
        <v>56</v>
      </c>
      <c r="M24" s="24" t="s">
        <v>56</v>
      </c>
      <c r="N24" s="24" t="s">
        <v>56</v>
      </c>
      <c r="O24" s="24" t="s">
        <v>728</v>
      </c>
    </row>
    <row r="25" spans="1:15" ht="15.75" hidden="1" x14ac:dyDescent="0.25">
      <c r="A25" s="46"/>
      <c r="B25" s="46"/>
      <c r="C25" s="24" t="s">
        <v>51</v>
      </c>
      <c r="D25" s="24" t="s">
        <v>66</v>
      </c>
      <c r="E25" s="24" t="s">
        <v>67</v>
      </c>
      <c r="F25" s="24" t="s">
        <v>118</v>
      </c>
      <c r="G25" s="24" t="s">
        <v>57</v>
      </c>
      <c r="H25" s="24" t="s">
        <v>58</v>
      </c>
      <c r="I25" s="24" t="s">
        <v>33</v>
      </c>
      <c r="J25" s="24" t="s">
        <v>34</v>
      </c>
      <c r="K25" s="24" t="s">
        <v>59</v>
      </c>
      <c r="L25" s="25" t="s">
        <v>272</v>
      </c>
      <c r="M25" s="25" t="s">
        <v>273</v>
      </c>
      <c r="N25" s="24" t="s">
        <v>355</v>
      </c>
      <c r="O25" s="24" t="s">
        <v>118</v>
      </c>
    </row>
    <row r="26" spans="1:15" ht="15.75" hidden="1" x14ac:dyDescent="0.25">
      <c r="A26" s="25" t="s">
        <v>341</v>
      </c>
      <c r="B26" s="25" t="s">
        <v>339</v>
      </c>
      <c r="C26" s="25" t="s">
        <v>24</v>
      </c>
      <c r="D26" s="25" t="s">
        <v>47</v>
      </c>
      <c r="E26" s="25" t="s">
        <v>60</v>
      </c>
      <c r="F26" s="25" t="s">
        <v>61</v>
      </c>
      <c r="G26" s="25" t="s">
        <v>60</v>
      </c>
      <c r="H26" s="25" t="s">
        <v>62</v>
      </c>
      <c r="I26" s="25" t="s">
        <v>63</v>
      </c>
      <c r="J26" s="25" t="s">
        <v>33</v>
      </c>
      <c r="K26" s="25" t="s">
        <v>64</v>
      </c>
      <c r="L26" s="25" t="s">
        <v>270</v>
      </c>
      <c r="M26" s="25" t="s">
        <v>271</v>
      </c>
      <c r="N26" s="25" t="s">
        <v>45</v>
      </c>
      <c r="O26" s="25" t="s">
        <v>62</v>
      </c>
    </row>
    <row r="27" spans="1:15" ht="15.75" hidden="1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7">
        <f>+N19</f>
        <v>0</v>
      </c>
      <c r="O27" s="24"/>
    </row>
    <row r="28" spans="1:15" ht="15.75" hidden="1" x14ac:dyDescent="0.25">
      <c r="A28" s="26" t="s">
        <v>73</v>
      </c>
      <c r="B28" s="46">
        <v>2025</v>
      </c>
      <c r="C28" s="27">
        <f>'Revs by Rate Class (EE&amp;C2_p1)'!H29</f>
        <v>844826.35999999987</v>
      </c>
      <c r="D28" s="27">
        <f>'Monthly Revenue Req.(EE&amp;C2_p2)'!R34</f>
        <v>227879.61000000002</v>
      </c>
      <c r="E28" s="27">
        <f>+G18</f>
        <v>0</v>
      </c>
      <c r="F28" s="27">
        <f t="shared" ref="F28:F33" si="8">-D28+C28</f>
        <v>616946.74999999988</v>
      </c>
      <c r="G28" s="138">
        <f>SUM(E28:F28)</f>
        <v>616946.74999999988</v>
      </c>
      <c r="H28" s="47">
        <f t="shared" ref="H28" si="9">(G28+E28)/2</f>
        <v>308473.37499999994</v>
      </c>
      <c r="I28" s="62">
        <v>0.28110000000000002</v>
      </c>
      <c r="J28" s="47">
        <f t="shared" ref="J28:J33" si="10">ROUND(H28*I28,2)</f>
        <v>86711.87</v>
      </c>
      <c r="K28" s="47">
        <f t="shared" ref="K28:K33" si="11">H28-J28</f>
        <v>221761.50499999995</v>
      </c>
      <c r="L28" s="74">
        <v>4.8500000000000001E-2</v>
      </c>
      <c r="M28" s="68">
        <f t="shared" ref="M28:M33" si="12">+L28/12</f>
        <v>4.0416666666666665E-3</v>
      </c>
      <c r="N28" s="28">
        <f t="shared" ref="N28:N33" si="13">ROUND(K28*M28,2)</f>
        <v>896.29</v>
      </c>
      <c r="O28" s="47">
        <f>SUM(N$27:N28)+G28</f>
        <v>617843.03999999992</v>
      </c>
    </row>
    <row r="29" spans="1:15" ht="15.75" hidden="1" x14ac:dyDescent="0.25">
      <c r="A29" s="26" t="s">
        <v>74</v>
      </c>
      <c r="B29" s="46">
        <f t="shared" ref="B29:B33" si="14">+B28</f>
        <v>2025</v>
      </c>
      <c r="C29" s="27">
        <f>'Revs by Rate Class (EE&amp;C2_p1)'!H30</f>
        <v>2131849.84</v>
      </c>
      <c r="D29" s="28">
        <f>'Monthly Revenue Req.(EE&amp;C2_p2)'!R35</f>
        <v>286026.34000000003</v>
      </c>
      <c r="E29" s="28">
        <f>+G28</f>
        <v>616946.74999999988</v>
      </c>
      <c r="F29" s="28">
        <f t="shared" si="8"/>
        <v>1845823.4999999998</v>
      </c>
      <c r="G29" s="29">
        <f>SUM(E29:F29)</f>
        <v>2462770.2499999995</v>
      </c>
      <c r="H29" s="28">
        <f>(G29+E29)/2</f>
        <v>1539858.4999999998</v>
      </c>
      <c r="I29" s="62">
        <v>0.28110000000000002</v>
      </c>
      <c r="J29" s="28">
        <f t="shared" si="10"/>
        <v>432854.22</v>
      </c>
      <c r="K29" s="28">
        <f>H29-J29</f>
        <v>1107004.2799999998</v>
      </c>
      <c r="L29" s="74">
        <v>4.8599999999999997E-2</v>
      </c>
      <c r="M29" s="68">
        <f t="shared" si="12"/>
        <v>4.0499999999999998E-3</v>
      </c>
      <c r="N29" s="28">
        <f>ROUND(K29*M29,2)</f>
        <v>4483.37</v>
      </c>
      <c r="O29" s="28">
        <f>SUM(N$27:N29)+G29</f>
        <v>2468149.9099999997</v>
      </c>
    </row>
    <row r="30" spans="1:15" ht="15.75" hidden="1" x14ac:dyDescent="0.25">
      <c r="A30" s="26" t="s">
        <v>75</v>
      </c>
      <c r="B30" s="46">
        <f t="shared" si="14"/>
        <v>2025</v>
      </c>
      <c r="C30" s="27">
        <f>'Revs by Rate Class (EE&amp;C2_p1)'!H31</f>
        <v>1962564.2499999998</v>
      </c>
      <c r="D30" s="28">
        <f>'Monthly Revenue Req.(EE&amp;C2_p2)'!R36</f>
        <v>392556.23</v>
      </c>
      <c r="E30" s="28">
        <f>+G29</f>
        <v>2462770.2499999995</v>
      </c>
      <c r="F30" s="28">
        <f t="shared" si="8"/>
        <v>1570008.0199999998</v>
      </c>
      <c r="G30" s="29">
        <f t="shared" ref="G30:G32" si="15">SUM(E30:F30)</f>
        <v>4032778.2699999996</v>
      </c>
      <c r="H30" s="28">
        <f>(G30+E30)/2</f>
        <v>3247774.26</v>
      </c>
      <c r="I30" s="62">
        <v>0.28110000000000002</v>
      </c>
      <c r="J30" s="28">
        <f t="shared" si="10"/>
        <v>912949.34</v>
      </c>
      <c r="K30" s="28">
        <f t="shared" si="11"/>
        <v>2334824.92</v>
      </c>
      <c r="L30" s="74">
        <v>4.5600000000000002E-2</v>
      </c>
      <c r="M30" s="68">
        <f t="shared" si="12"/>
        <v>3.8E-3</v>
      </c>
      <c r="N30" s="28">
        <f t="shared" si="13"/>
        <v>8872.33</v>
      </c>
      <c r="O30" s="28">
        <f>SUM(N$27:N30)+G30</f>
        <v>4047030.26</v>
      </c>
    </row>
    <row r="31" spans="1:15" ht="15.75" hidden="1" x14ac:dyDescent="0.25">
      <c r="A31" s="26" t="s">
        <v>76</v>
      </c>
      <c r="B31" s="46">
        <f t="shared" si="14"/>
        <v>2025</v>
      </c>
      <c r="C31" s="27">
        <f>'Revs by Rate Class (EE&amp;C2_p1)'!H32</f>
        <v>1791572.65</v>
      </c>
      <c r="D31" s="28">
        <f>'Monthly Revenue Req.(EE&amp;C2_p2)'!R37</f>
        <v>632563.59</v>
      </c>
      <c r="E31" s="28">
        <f>+G30</f>
        <v>4032778.2699999996</v>
      </c>
      <c r="F31" s="28">
        <f t="shared" si="8"/>
        <v>1159009.06</v>
      </c>
      <c r="G31" s="29">
        <f t="shared" si="15"/>
        <v>5191787.33</v>
      </c>
      <c r="H31" s="28">
        <f>(G31+E31)/2</f>
        <v>4612282.8</v>
      </c>
      <c r="I31" s="62">
        <v>0.28110000000000002</v>
      </c>
      <c r="J31" s="28">
        <f t="shared" si="10"/>
        <v>1296512.7</v>
      </c>
      <c r="K31" s="28">
        <f t="shared" si="11"/>
        <v>3315770.0999999996</v>
      </c>
      <c r="L31" s="74">
        <v>4.4699999999999997E-2</v>
      </c>
      <c r="M31" s="68">
        <f t="shared" si="12"/>
        <v>3.7249999999999996E-3</v>
      </c>
      <c r="N31" s="28">
        <f t="shared" si="13"/>
        <v>12351.24</v>
      </c>
      <c r="O31" s="28">
        <f>SUM(N$27:N31)+G31</f>
        <v>5218390.5600000005</v>
      </c>
    </row>
    <row r="32" spans="1:15" ht="15.75" hidden="1" x14ac:dyDescent="0.25">
      <c r="A32" s="26" t="s">
        <v>77</v>
      </c>
      <c r="B32" s="46">
        <f t="shared" si="14"/>
        <v>2025</v>
      </c>
      <c r="C32" s="27">
        <f>'Revs by Rate Class (EE&amp;C2_p1)'!H33</f>
        <v>1720807.8699999999</v>
      </c>
      <c r="D32" s="28">
        <f>'Monthly Revenue Req.(EE&amp;C2_p2)'!R38</f>
        <v>699830.68</v>
      </c>
      <c r="E32" s="28">
        <f>+G31</f>
        <v>5191787.33</v>
      </c>
      <c r="F32" s="28">
        <f t="shared" si="8"/>
        <v>1020977.1899999998</v>
      </c>
      <c r="G32" s="29">
        <f t="shared" si="15"/>
        <v>6212764.5199999996</v>
      </c>
      <c r="H32" s="28">
        <f>(G32+E32)/2</f>
        <v>5702275.9249999998</v>
      </c>
      <c r="I32" s="62">
        <v>0.28110000000000002</v>
      </c>
      <c r="J32" s="28">
        <f t="shared" si="10"/>
        <v>1602909.76</v>
      </c>
      <c r="K32" s="28">
        <f t="shared" si="11"/>
        <v>4099366.165</v>
      </c>
      <c r="L32" s="74">
        <v>4.2999999999999997E-2</v>
      </c>
      <c r="M32" s="68">
        <f t="shared" si="12"/>
        <v>3.5833333333333329E-3</v>
      </c>
      <c r="N32" s="28">
        <f t="shared" si="13"/>
        <v>14689.4</v>
      </c>
      <c r="O32" s="28">
        <f>SUM(N$27:N32)+G32</f>
        <v>6254057.1499999994</v>
      </c>
    </row>
    <row r="33" spans="1:15" ht="15.75" hidden="1" x14ac:dyDescent="0.25">
      <c r="A33" s="26" t="s">
        <v>78</v>
      </c>
      <c r="B33" s="46">
        <f t="shared" si="14"/>
        <v>2025</v>
      </c>
      <c r="C33" s="27">
        <f>'Revs by Rate Class (EE&amp;C2_p1)'!H34</f>
        <v>1943729.93</v>
      </c>
      <c r="D33" s="28">
        <f>'Monthly Revenue Req.(EE&amp;C2_p2)'!R39</f>
        <v>816017.67</v>
      </c>
      <c r="E33" s="28">
        <f>+G32</f>
        <v>6212764.5199999996</v>
      </c>
      <c r="F33" s="28">
        <f t="shared" si="8"/>
        <v>1127712.2599999998</v>
      </c>
      <c r="G33" s="29">
        <f>SUM(E33:F33)</f>
        <v>7340476.7799999993</v>
      </c>
      <c r="H33" s="28">
        <f>(G33+E33)/2</f>
        <v>6776620.6499999994</v>
      </c>
      <c r="I33" s="62">
        <v>0.28110000000000002</v>
      </c>
      <c r="J33" s="28">
        <f t="shared" si="10"/>
        <v>1904908.06</v>
      </c>
      <c r="K33" s="28">
        <f t="shared" si="11"/>
        <v>4871712.59</v>
      </c>
      <c r="L33" s="74">
        <v>4.5399999999999996E-2</v>
      </c>
      <c r="M33" s="68">
        <f t="shared" si="12"/>
        <v>3.783333333333333E-3</v>
      </c>
      <c r="N33" s="28">
        <f t="shared" si="13"/>
        <v>18431.310000000001</v>
      </c>
      <c r="O33" s="28">
        <f>SUM(N$27:N33)+G33</f>
        <v>7400200.7199999997</v>
      </c>
    </row>
    <row r="34" spans="1:15" ht="16.5" hidden="1" thickBot="1" x14ac:dyDescent="0.3">
      <c r="A34" s="46" t="s">
        <v>15</v>
      </c>
      <c r="B34" s="46">
        <f>+B33</f>
        <v>2025</v>
      </c>
      <c r="C34" s="63">
        <f>SUM(C28:C33)</f>
        <v>10395350.899999999</v>
      </c>
      <c r="D34" s="63">
        <f>SUM(D28:D33)</f>
        <v>3054874.12</v>
      </c>
      <c r="E34" s="28"/>
      <c r="F34" s="63">
        <f>SUM(F28:F33)</f>
        <v>7340476.7799999993</v>
      </c>
      <c r="G34" s="44"/>
      <c r="H34" s="28">
        <v>0</v>
      </c>
      <c r="I34" s="28"/>
      <c r="J34" s="28"/>
      <c r="K34" s="28"/>
      <c r="L34" s="44"/>
      <c r="M34" s="44"/>
      <c r="N34" s="48">
        <f>SUM(N27:N33)</f>
        <v>59723.94</v>
      </c>
      <c r="O34" s="28"/>
    </row>
    <row r="35" spans="1:15" ht="15.75" hidden="1" x14ac:dyDescent="0.25">
      <c r="A35" s="44"/>
      <c r="B35" s="44"/>
      <c r="C35" s="44"/>
      <c r="D35" s="47"/>
      <c r="E35" s="44"/>
      <c r="F35" s="47"/>
      <c r="G35" s="47"/>
      <c r="H35" s="28"/>
      <c r="I35" s="28"/>
      <c r="J35" s="28"/>
      <c r="K35" s="28"/>
      <c r="L35" s="44"/>
      <c r="N35" s="47"/>
      <c r="O35" s="44"/>
    </row>
    <row r="36" spans="1:15" ht="15.75" x14ac:dyDescent="0.25">
      <c r="A36" s="44"/>
      <c r="B36" s="44"/>
      <c r="C36" s="44"/>
      <c r="D36" s="47"/>
      <c r="E36" s="44"/>
      <c r="F36" s="47"/>
      <c r="G36" s="47"/>
      <c r="H36" s="28"/>
      <c r="I36" s="28"/>
      <c r="J36" s="28"/>
      <c r="K36" s="28"/>
      <c r="L36" s="44"/>
      <c r="N36" s="47"/>
      <c r="O36" s="44"/>
    </row>
    <row r="37" spans="1:15" ht="18.75" x14ac:dyDescent="0.3">
      <c r="A37" s="34" t="s">
        <v>335</v>
      </c>
      <c r="B37" s="3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145"/>
      <c r="O37" s="64"/>
    </row>
    <row r="38" spans="1:15" ht="15.75" x14ac:dyDescent="0.25">
      <c r="A38" s="44"/>
      <c r="B38" s="44"/>
      <c r="C38" s="44"/>
      <c r="D38" s="47"/>
      <c r="E38" s="44"/>
      <c r="F38" s="47"/>
      <c r="G38" s="47"/>
      <c r="H38" s="28"/>
      <c r="I38" s="28"/>
      <c r="J38" s="28"/>
      <c r="K38" s="28"/>
      <c r="L38" s="44"/>
      <c r="N38" s="47"/>
      <c r="O38" s="44"/>
    </row>
    <row r="39" spans="1:15" ht="15.75" x14ac:dyDescent="0.25">
      <c r="A39" s="46"/>
      <c r="B39" s="46"/>
      <c r="C39" s="24"/>
      <c r="D39" s="24"/>
      <c r="E39" s="24" t="s">
        <v>58</v>
      </c>
      <c r="F39" s="24" t="s">
        <v>49</v>
      </c>
      <c r="G39" s="24" t="s">
        <v>50</v>
      </c>
      <c r="H39" s="44"/>
      <c r="I39" s="44"/>
      <c r="J39" s="44"/>
      <c r="K39" s="44"/>
      <c r="L39" s="24" t="s">
        <v>125</v>
      </c>
      <c r="M39" s="24" t="s">
        <v>55</v>
      </c>
      <c r="N39" s="44"/>
      <c r="O39" s="24" t="s">
        <v>34</v>
      </c>
    </row>
    <row r="40" spans="1:15" ht="15.75" x14ac:dyDescent="0.25">
      <c r="A40" s="46"/>
      <c r="B40" s="46"/>
      <c r="C40" s="24"/>
      <c r="D40" s="24" t="s">
        <v>20</v>
      </c>
      <c r="E40" s="24" t="s">
        <v>728</v>
      </c>
      <c r="F40" s="24" t="s">
        <v>52</v>
      </c>
      <c r="G40" s="24" t="s">
        <v>728</v>
      </c>
      <c r="H40" s="24" t="s">
        <v>53</v>
      </c>
      <c r="I40" s="44"/>
      <c r="J40" s="44"/>
      <c r="K40" s="24" t="s">
        <v>54</v>
      </c>
      <c r="L40" s="24" t="s">
        <v>56</v>
      </c>
      <c r="M40" s="24" t="s">
        <v>56</v>
      </c>
      <c r="N40" s="24" t="s">
        <v>56</v>
      </c>
      <c r="O40" s="24" t="s">
        <v>728</v>
      </c>
    </row>
    <row r="41" spans="1:15" ht="15.75" x14ac:dyDescent="0.25">
      <c r="A41" s="46"/>
      <c r="B41" s="46"/>
      <c r="C41" s="24" t="s">
        <v>51</v>
      </c>
      <c r="D41" s="24" t="s">
        <v>66</v>
      </c>
      <c r="E41" s="24" t="s">
        <v>67</v>
      </c>
      <c r="F41" s="24" t="s">
        <v>118</v>
      </c>
      <c r="G41" s="24" t="s">
        <v>57</v>
      </c>
      <c r="H41" s="24" t="s">
        <v>58</v>
      </c>
      <c r="I41" s="24" t="s">
        <v>33</v>
      </c>
      <c r="J41" s="24" t="s">
        <v>34</v>
      </c>
      <c r="K41" s="24" t="s">
        <v>59</v>
      </c>
      <c r="L41" s="25" t="s">
        <v>272</v>
      </c>
      <c r="M41" s="25" t="s">
        <v>273</v>
      </c>
      <c r="N41" s="24" t="s">
        <v>355</v>
      </c>
      <c r="O41" s="24" t="s">
        <v>118</v>
      </c>
    </row>
    <row r="42" spans="1:15" ht="15.75" x14ac:dyDescent="0.25">
      <c r="A42" s="25" t="s">
        <v>341</v>
      </c>
      <c r="B42" s="25" t="s">
        <v>339</v>
      </c>
      <c r="C42" s="25" t="s">
        <v>24</v>
      </c>
      <c r="D42" s="25" t="s">
        <v>47</v>
      </c>
      <c r="E42" s="25" t="s">
        <v>60</v>
      </c>
      <c r="F42" s="25" t="s">
        <v>61</v>
      </c>
      <c r="G42" s="25" t="s">
        <v>60</v>
      </c>
      <c r="H42" s="25" t="s">
        <v>62</v>
      </c>
      <c r="I42" s="25" t="s">
        <v>63</v>
      </c>
      <c r="J42" s="25" t="s">
        <v>33</v>
      </c>
      <c r="K42" s="25" t="s">
        <v>64</v>
      </c>
      <c r="L42" s="25" t="s">
        <v>270</v>
      </c>
      <c r="M42" s="25" t="s">
        <v>271</v>
      </c>
      <c r="N42" s="25" t="s">
        <v>45</v>
      </c>
      <c r="O42" s="25" t="s">
        <v>62</v>
      </c>
    </row>
    <row r="43" spans="1:15" s="11" customFormat="1" ht="15.75" x14ac:dyDescent="0.25">
      <c r="A43" s="446" t="s">
        <v>765</v>
      </c>
      <c r="B43" s="433"/>
      <c r="C43" s="442"/>
      <c r="D43" s="442"/>
      <c r="E43" s="442"/>
      <c r="F43" s="442"/>
      <c r="G43" s="443"/>
      <c r="H43" s="442"/>
      <c r="I43" s="442"/>
      <c r="J43" s="442"/>
      <c r="K43" s="442"/>
      <c r="L43" s="442"/>
      <c r="M43" s="442"/>
      <c r="N43" s="444">
        <f>N34</f>
        <v>59723.94</v>
      </c>
      <c r="O43" s="442"/>
    </row>
    <row r="44" spans="1:15" ht="15.75" x14ac:dyDescent="0.25">
      <c r="A44" s="26" t="s">
        <v>79</v>
      </c>
      <c r="B44" s="46">
        <f>+B29</f>
        <v>2025</v>
      </c>
      <c r="C44" s="138">
        <f>'Revs by Rate Class (EE&amp;C2_p1)'!H35</f>
        <v>2712026.59</v>
      </c>
      <c r="D44" s="138">
        <f>'Monthly Revenue Req.(EE&amp;C2_p2)'!R52</f>
        <v>1327412.1200000001</v>
      </c>
      <c r="E44" s="138">
        <f>G33</f>
        <v>7340476.7799999993</v>
      </c>
      <c r="F44" s="138">
        <f>-D44+C44</f>
        <v>1384614.4699999997</v>
      </c>
      <c r="G44" s="138">
        <f t="shared" ref="G44:G48" si="16">SUM(E44:F44)</f>
        <v>8725091.25</v>
      </c>
      <c r="H44" s="47">
        <f t="shared" ref="H44:H49" si="17">(G44+E44)/2</f>
        <v>8032784.0149999997</v>
      </c>
      <c r="I44" s="405">
        <v>0.28110000000000002</v>
      </c>
      <c r="J44" s="47">
        <f t="shared" ref="J44:J49" si="18">ROUND(H44*I44,2)</f>
        <v>2258015.59</v>
      </c>
      <c r="K44" s="47">
        <f t="shared" ref="K44:K49" si="19">H44-J44</f>
        <v>5774768.4249999998</v>
      </c>
      <c r="L44" s="406">
        <v>4.3799999999999999E-2</v>
      </c>
      <c r="M44" s="407">
        <f t="shared" ref="M44:M49" si="20">+L44/12</f>
        <v>3.65E-3</v>
      </c>
      <c r="N44" s="29">
        <f>ROUND(K44*M44,2)</f>
        <v>21077.9</v>
      </c>
      <c r="O44" s="138">
        <f>SUM(N$43:N44)+G44</f>
        <v>8805893.0899999999</v>
      </c>
    </row>
    <row r="45" spans="1:15" ht="15.75" x14ac:dyDescent="0.25">
      <c r="A45" s="26" t="s">
        <v>80</v>
      </c>
      <c r="B45" s="46">
        <f t="shared" ref="B45:B49" si="21">+B44</f>
        <v>2025</v>
      </c>
      <c r="C45" s="29">
        <f>'Revs by Rate Class (EE&amp;C2_p1)'!H36</f>
        <v>2775613.5200000005</v>
      </c>
      <c r="D45" s="29">
        <f>'Monthly Revenue Req.(EE&amp;C2_p2)'!R53</f>
        <v>2167843.7999999998</v>
      </c>
      <c r="E45" s="29">
        <f>+G44</f>
        <v>8725091.25</v>
      </c>
      <c r="F45" s="29">
        <f t="shared" ref="F45:F48" si="22">-D45+C45</f>
        <v>607769.72000000067</v>
      </c>
      <c r="G45" s="29">
        <f t="shared" si="16"/>
        <v>9332860.9700000007</v>
      </c>
      <c r="H45" s="29">
        <f t="shared" si="17"/>
        <v>9028976.1099999994</v>
      </c>
      <c r="I45" s="405">
        <v>0.28110000000000002</v>
      </c>
      <c r="J45" s="29">
        <f t="shared" si="18"/>
        <v>2538045.1800000002</v>
      </c>
      <c r="K45" s="29">
        <f t="shared" si="19"/>
        <v>6490930.9299999997</v>
      </c>
      <c r="L45" s="406">
        <v>4.2900000000000001E-2</v>
      </c>
      <c r="M45" s="407">
        <f t="shared" si="20"/>
        <v>3.5750000000000001E-3</v>
      </c>
      <c r="N45" s="29">
        <f>ROUND(K45*M45,2)</f>
        <v>23205.08</v>
      </c>
      <c r="O45" s="29">
        <f>SUM(N$43:N45)+G45</f>
        <v>9436867.8900000006</v>
      </c>
    </row>
    <row r="46" spans="1:15" ht="15.75" x14ac:dyDescent="0.25">
      <c r="A46" s="26" t="s">
        <v>81</v>
      </c>
      <c r="B46" s="46">
        <f t="shared" si="21"/>
        <v>2025</v>
      </c>
      <c r="C46" s="29">
        <f>'Revs by Rate Class (EE&amp;C2_p1)'!H37</f>
        <v>2490808.25</v>
      </c>
      <c r="D46" s="29">
        <f>'Monthly Revenue Req.(EE&amp;C2_p2)'!R54</f>
        <v>2999333.68</v>
      </c>
      <c r="E46" s="29">
        <f>+G45</f>
        <v>9332860.9700000007</v>
      </c>
      <c r="F46" s="29">
        <f t="shared" si="22"/>
        <v>-508525.43000000017</v>
      </c>
      <c r="G46" s="29">
        <f t="shared" si="16"/>
        <v>8824335.540000001</v>
      </c>
      <c r="H46" s="29">
        <f t="shared" si="17"/>
        <v>9078598.2550000008</v>
      </c>
      <c r="I46" s="405">
        <v>0.28110000000000002</v>
      </c>
      <c r="J46" s="29">
        <f t="shared" si="18"/>
        <v>2551993.9700000002</v>
      </c>
      <c r="K46" s="29">
        <f t="shared" si="19"/>
        <v>6526604.2850000001</v>
      </c>
      <c r="L46" s="406">
        <v>4.2599999999999999E-2</v>
      </c>
      <c r="M46" s="407">
        <f t="shared" si="20"/>
        <v>3.5499999999999998E-3</v>
      </c>
      <c r="N46" s="29">
        <f t="shared" ref="N46:N48" si="23">ROUND(K46*M46,2)</f>
        <v>23169.45</v>
      </c>
      <c r="O46" s="29">
        <f>SUM(N$43:N46)+G46</f>
        <v>8951511.9100000001</v>
      </c>
    </row>
    <row r="47" spans="1:15" ht="15.75" x14ac:dyDescent="0.25">
      <c r="A47" s="26" t="s">
        <v>82</v>
      </c>
      <c r="B47" s="46">
        <f t="shared" si="21"/>
        <v>2025</v>
      </c>
      <c r="C47" s="29">
        <f>'Revs by Rate Class (EE&amp;C2_p1)'!H38</f>
        <v>1750426.18</v>
      </c>
      <c r="D47" s="29">
        <f>'Monthly Revenue Req.(EE&amp;C2_p2)'!R55</f>
        <v>2887652.8099999996</v>
      </c>
      <c r="E47" s="29">
        <f>+G46</f>
        <v>8824335.540000001</v>
      </c>
      <c r="F47" s="29">
        <f t="shared" si="22"/>
        <v>-1137226.6299999997</v>
      </c>
      <c r="G47" s="29">
        <f t="shared" si="16"/>
        <v>7687108.9100000011</v>
      </c>
      <c r="H47" s="29">
        <f t="shared" si="17"/>
        <v>8255722.2250000015</v>
      </c>
      <c r="I47" s="405">
        <v>0.28110000000000002</v>
      </c>
      <c r="J47" s="29">
        <f t="shared" si="18"/>
        <v>2320683.52</v>
      </c>
      <c r="K47" s="29">
        <f t="shared" si="19"/>
        <v>5935038.7050000019</v>
      </c>
      <c r="L47" s="406">
        <v>4.1499999999999995E-2</v>
      </c>
      <c r="M47" s="407">
        <f t="shared" si="20"/>
        <v>3.4583333333333328E-3</v>
      </c>
      <c r="N47" s="29">
        <f t="shared" si="23"/>
        <v>20525.34</v>
      </c>
      <c r="O47" s="29">
        <f>SUM(N$43:N47)+G47</f>
        <v>7834810.620000001</v>
      </c>
    </row>
    <row r="48" spans="1:15" ht="15.75" x14ac:dyDescent="0.25">
      <c r="A48" s="26" t="s">
        <v>83</v>
      </c>
      <c r="B48" s="46">
        <f t="shared" si="21"/>
        <v>2025</v>
      </c>
      <c r="C48" s="29">
        <f>'Revs by Rate Class (EE&amp;C2_p1)'!H39</f>
        <v>1727794.1600000004</v>
      </c>
      <c r="D48" s="29">
        <f>'Monthly Revenue Req.(EE&amp;C2_p2)'!R56</f>
        <v>2998508.24</v>
      </c>
      <c r="E48" s="29">
        <f>+G47</f>
        <v>7687108.9100000011</v>
      </c>
      <c r="F48" s="29">
        <f t="shared" si="22"/>
        <v>-1270714.0799999998</v>
      </c>
      <c r="G48" s="29">
        <f t="shared" si="16"/>
        <v>6416394.830000001</v>
      </c>
      <c r="H48" s="29">
        <f t="shared" si="17"/>
        <v>7051751.870000001</v>
      </c>
      <c r="I48" s="405">
        <v>0.28110000000000002</v>
      </c>
      <c r="J48" s="29">
        <f t="shared" si="18"/>
        <v>1982247.45</v>
      </c>
      <c r="K48" s="29">
        <f t="shared" si="19"/>
        <v>5069504.4200000009</v>
      </c>
      <c r="L48" s="406">
        <v>4.1999999999999996E-2</v>
      </c>
      <c r="M48" s="407">
        <f t="shared" si="20"/>
        <v>3.4999999999999996E-3</v>
      </c>
      <c r="N48" s="29">
        <f t="shared" si="23"/>
        <v>17743.27</v>
      </c>
      <c r="O48" s="29">
        <f>SUM(N$43:N48)+G48</f>
        <v>6581839.8100000005</v>
      </c>
    </row>
    <row r="49" spans="1:15" ht="15.75" x14ac:dyDescent="0.25">
      <c r="A49" s="26" t="s">
        <v>84</v>
      </c>
      <c r="B49" s="46">
        <f t="shared" si="21"/>
        <v>2025</v>
      </c>
      <c r="C49" s="29">
        <f>'Revs by Rate Class (EE&amp;C2_p1)'!H40</f>
        <v>2021180.02</v>
      </c>
      <c r="D49" s="29">
        <f>'Monthly Revenue Req.(EE&amp;C2_p2)'!R57</f>
        <v>1057377.6000000001</v>
      </c>
      <c r="E49" s="29">
        <f>+G48</f>
        <v>6416394.830000001</v>
      </c>
      <c r="F49" s="29">
        <f>-D49+C49</f>
        <v>963802.41999999993</v>
      </c>
      <c r="G49" s="29">
        <f>SUM(E49:F49)</f>
        <v>7380197.2500000009</v>
      </c>
      <c r="H49" s="29">
        <f t="shared" si="17"/>
        <v>6898296.040000001</v>
      </c>
      <c r="I49" s="405">
        <v>0.28110000000000002</v>
      </c>
      <c r="J49" s="29">
        <f t="shared" si="18"/>
        <v>1939111.02</v>
      </c>
      <c r="K49" s="29">
        <f t="shared" si="19"/>
        <v>4959185.0200000014</v>
      </c>
      <c r="L49" s="406">
        <v>4.1399999999999999E-2</v>
      </c>
      <c r="M49" s="407">
        <f t="shared" si="20"/>
        <v>3.4499999999999999E-3</v>
      </c>
      <c r="N49" s="29">
        <f>ROUND(K49*M49,2)</f>
        <v>17109.189999999999</v>
      </c>
      <c r="O49" s="29">
        <f>SUM(N$43:N49)+G49</f>
        <v>7562751.4200000009</v>
      </c>
    </row>
    <row r="50" spans="1:15" ht="16.5" thickBot="1" x14ac:dyDescent="0.3">
      <c r="A50" s="46" t="s">
        <v>15</v>
      </c>
      <c r="B50" s="46">
        <f>+B49</f>
        <v>2025</v>
      </c>
      <c r="C50" s="63">
        <f>SUM(C44:C49)</f>
        <v>13477848.720000001</v>
      </c>
      <c r="D50" s="63">
        <f>SUM(D44:D49)</f>
        <v>13438128.25</v>
      </c>
      <c r="E50" s="29"/>
      <c r="F50" s="63">
        <f>SUM(F44:F49)</f>
        <v>39720.470000000671</v>
      </c>
      <c r="G50" s="44"/>
      <c r="H50" s="29">
        <v>0</v>
      </c>
      <c r="I50" s="29"/>
      <c r="J50" s="29"/>
      <c r="K50" s="29"/>
      <c r="L50" s="44"/>
      <c r="M50" s="44"/>
      <c r="N50" s="408">
        <f>SUM(N43:N49)</f>
        <v>182554.16999999998</v>
      </c>
      <c r="O50" s="29"/>
    </row>
    <row r="51" spans="1:15" ht="16.5" thickTop="1" x14ac:dyDescent="0.25">
      <c r="A51" s="44"/>
      <c r="B51" s="44"/>
      <c r="C51" s="44"/>
      <c r="D51" s="47"/>
      <c r="E51" s="44"/>
      <c r="F51" s="47"/>
      <c r="G51" s="47"/>
      <c r="H51" s="29"/>
      <c r="I51" s="29"/>
      <c r="J51" s="29"/>
      <c r="K51" s="29"/>
      <c r="L51" s="44"/>
      <c r="N51" s="47"/>
      <c r="O51" s="44"/>
    </row>
    <row r="52" spans="1:15" ht="15.75" x14ac:dyDescent="0.25">
      <c r="A52" s="44"/>
      <c r="B52" s="44"/>
      <c r="C52" s="44"/>
      <c r="D52" s="47"/>
      <c r="E52" s="44"/>
      <c r="F52" s="47"/>
      <c r="G52" s="47"/>
      <c r="H52" s="29"/>
      <c r="I52" s="29"/>
      <c r="J52" s="29"/>
      <c r="K52" s="29"/>
      <c r="L52" s="44"/>
      <c r="N52" s="47"/>
      <c r="O52" s="44"/>
    </row>
    <row r="53" spans="1:15" ht="18.75" x14ac:dyDescent="0.3">
      <c r="A53" s="34" t="s">
        <v>749</v>
      </c>
      <c r="B53" s="158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145"/>
      <c r="O53" s="64"/>
    </row>
    <row r="54" spans="1:15" ht="15.75" x14ac:dyDescent="0.25">
      <c r="A54" s="44"/>
      <c r="B54" s="44"/>
      <c r="C54" s="71" t="s">
        <v>748</v>
      </c>
      <c r="D54" s="71"/>
      <c r="E54" s="71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ht="15.75" x14ac:dyDescent="0.25">
      <c r="A55" s="44"/>
      <c r="B55" s="44"/>
      <c r="C55" s="24" t="s">
        <v>743</v>
      </c>
      <c r="D55" s="24" t="s">
        <v>733</v>
      </c>
      <c r="E55" s="24" t="s">
        <v>743</v>
      </c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ht="15.75" x14ac:dyDescent="0.25">
      <c r="A56" s="25" t="s">
        <v>341</v>
      </c>
      <c r="B56" s="25" t="s">
        <v>339</v>
      </c>
      <c r="C56" s="25" t="s">
        <v>119</v>
      </c>
      <c r="D56" s="25" t="s">
        <v>120</v>
      </c>
      <c r="E56" s="25" t="s">
        <v>24</v>
      </c>
      <c r="F56" s="44"/>
      <c r="G56" s="46"/>
      <c r="H56" s="46"/>
      <c r="I56" s="44"/>
      <c r="J56" s="44"/>
      <c r="K56" s="44"/>
      <c r="L56" s="44"/>
      <c r="M56" s="44"/>
      <c r="N56" s="44"/>
      <c r="O56" s="44"/>
    </row>
    <row r="57" spans="1:15" ht="15.75" x14ac:dyDescent="0.25">
      <c r="A57" s="26" t="s">
        <v>73</v>
      </c>
      <c r="B57" s="46">
        <v>2026</v>
      </c>
      <c r="C57" s="28">
        <f>'kWh Forecast'!C15</f>
        <v>1764257789.5636375</v>
      </c>
      <c r="D57" s="58">
        <f>+E57/C57</f>
        <v>1.2799999996364162E-3</v>
      </c>
      <c r="E57" s="27">
        <f>'kWh Forecast'!O15</f>
        <v>2258249.9700000002</v>
      </c>
      <c r="F57" s="66"/>
      <c r="G57" s="349"/>
      <c r="H57" s="27"/>
      <c r="I57" s="44"/>
      <c r="J57" s="44"/>
      <c r="K57" s="44"/>
      <c r="L57" s="349"/>
      <c r="M57" s="44"/>
      <c r="N57" s="67"/>
      <c r="O57" s="66"/>
    </row>
    <row r="58" spans="1:15" ht="15.75" x14ac:dyDescent="0.25">
      <c r="A58" s="26" t="s">
        <v>74</v>
      </c>
      <c r="B58" s="46">
        <f t="shared" ref="B58:B63" si="24">+B57</f>
        <v>2026</v>
      </c>
      <c r="C58" s="28">
        <f>'kWh Forecast'!C16</f>
        <v>1521527292.1889496</v>
      </c>
      <c r="D58" s="58">
        <f t="shared" ref="D58:D60" si="25">+E58/C58</f>
        <v>1.2799999973698432E-3</v>
      </c>
      <c r="E58" s="27">
        <f>'kWh Forecast'!O16</f>
        <v>1947554.93</v>
      </c>
      <c r="F58" s="66"/>
      <c r="G58" s="349"/>
      <c r="H58" s="28"/>
      <c r="I58" s="44"/>
      <c r="J58" s="44"/>
      <c r="K58" s="44"/>
      <c r="L58" s="349"/>
      <c r="M58" s="44"/>
      <c r="N58" s="67"/>
      <c r="O58" s="66"/>
    </row>
    <row r="59" spans="1:15" ht="15.75" x14ac:dyDescent="0.25">
      <c r="A59" s="26" t="s">
        <v>75</v>
      </c>
      <c r="B59" s="46">
        <f t="shared" si="24"/>
        <v>2026</v>
      </c>
      <c r="C59" s="28">
        <f>'kWh Forecast'!C17</f>
        <v>1509279565.3064404</v>
      </c>
      <c r="D59" s="58">
        <f t="shared" si="25"/>
        <v>1.2799999976198951E-3</v>
      </c>
      <c r="E59" s="27">
        <f>'kWh Forecast'!O17</f>
        <v>1931877.84</v>
      </c>
      <c r="F59" s="66"/>
      <c r="G59" s="349"/>
      <c r="H59" s="28"/>
      <c r="I59" s="44"/>
      <c r="J59" s="44"/>
      <c r="K59" s="44"/>
      <c r="L59" s="349"/>
      <c r="M59" s="44"/>
      <c r="N59" s="67"/>
      <c r="O59" s="66"/>
    </row>
    <row r="60" spans="1:15" ht="15.75" x14ac:dyDescent="0.25">
      <c r="A60" s="26" t="s">
        <v>76</v>
      </c>
      <c r="B60" s="46">
        <f t="shared" si="24"/>
        <v>2026</v>
      </c>
      <c r="C60" s="28">
        <f>'kWh Forecast'!C18</f>
        <v>1301687815.08582</v>
      </c>
      <c r="D60" s="58">
        <f t="shared" si="25"/>
        <v>1.279999997457263E-3</v>
      </c>
      <c r="E60" s="27">
        <f>'kWh Forecast'!O18</f>
        <v>1666160.4</v>
      </c>
      <c r="F60" s="66"/>
      <c r="G60" s="349"/>
      <c r="H60" s="28"/>
      <c r="I60" s="44"/>
      <c r="J60" s="44"/>
      <c r="K60" s="44"/>
      <c r="L60" s="349"/>
      <c r="M60" s="44"/>
      <c r="N60" s="67"/>
      <c r="O60" s="66"/>
    </row>
    <row r="61" spans="1:15" ht="15.75" x14ac:dyDescent="0.25">
      <c r="A61" s="26" t="s">
        <v>77</v>
      </c>
      <c r="B61" s="46">
        <f t="shared" si="24"/>
        <v>2026</v>
      </c>
      <c r="C61" s="28">
        <f>'kWh Forecast'!C19</f>
        <v>1429604801.3524609</v>
      </c>
      <c r="D61" s="58">
        <v>1.2800000000000001E-3</v>
      </c>
      <c r="E61" s="27">
        <f>'kWh Forecast'!O19</f>
        <v>1829894.15</v>
      </c>
      <c r="F61" s="66"/>
      <c r="G61" s="44"/>
      <c r="H61" s="44"/>
      <c r="I61" s="44"/>
      <c r="J61" s="44"/>
      <c r="K61" s="44"/>
      <c r="L61" s="44"/>
      <c r="M61" s="44"/>
      <c r="N61" s="67"/>
      <c r="O61" s="66"/>
    </row>
    <row r="62" spans="1:15" ht="15.75" x14ac:dyDescent="0.25">
      <c r="A62" s="26" t="s">
        <v>78</v>
      </c>
      <c r="B62" s="46">
        <f t="shared" si="24"/>
        <v>2026</v>
      </c>
      <c r="C62" s="28">
        <f>'kWh Forecast'!C20</f>
        <v>1739252991.7524381</v>
      </c>
      <c r="D62" s="58">
        <v>1.2800000000000001E-3</v>
      </c>
      <c r="E62" s="27">
        <f>'kWh Forecast'!O20</f>
        <v>2226243.83</v>
      </c>
      <c r="F62" s="66"/>
      <c r="G62" s="44"/>
      <c r="H62" s="44"/>
      <c r="I62" s="44"/>
      <c r="J62" s="44"/>
      <c r="K62" s="44"/>
      <c r="L62" s="44"/>
      <c r="M62" s="44"/>
      <c r="N62" s="67"/>
      <c r="O62" s="66"/>
    </row>
    <row r="63" spans="1:15" ht="16.5" thickBot="1" x14ac:dyDescent="0.3">
      <c r="A63" s="46" t="s">
        <v>15</v>
      </c>
      <c r="B63" s="46">
        <f t="shared" si="24"/>
        <v>2026</v>
      </c>
      <c r="C63" s="65">
        <f>SUM(C57:C62)</f>
        <v>9265610255.2497463</v>
      </c>
      <c r="D63" s="44"/>
      <c r="E63" s="63">
        <f>SUM(E57:E62)</f>
        <v>11859981.120000001</v>
      </c>
      <c r="F63" s="44"/>
      <c r="G63" s="44"/>
      <c r="H63" s="44"/>
      <c r="I63" s="44"/>
      <c r="J63" s="44"/>
      <c r="K63" s="44"/>
      <c r="L63" s="44"/>
      <c r="M63" s="44"/>
      <c r="N63" s="44"/>
      <c r="O63" s="73"/>
    </row>
    <row r="64" spans="1:15" ht="16.5" thickTop="1" x14ac:dyDescent="0.25">
      <c r="A64" s="44"/>
      <c r="B64" s="44"/>
      <c r="C64" s="44"/>
      <c r="D64" s="47"/>
      <c r="E64" s="44"/>
      <c r="F64" s="47"/>
      <c r="G64" s="47"/>
      <c r="H64" s="29"/>
      <c r="I64" s="29"/>
      <c r="J64" s="29"/>
      <c r="K64" s="29"/>
      <c r="L64" s="44"/>
      <c r="N64" s="47"/>
      <c r="O64" s="44"/>
    </row>
    <row r="65" spans="1:15" ht="15.75" x14ac:dyDescent="0.25">
      <c r="A65" s="44"/>
      <c r="B65" s="44"/>
      <c r="C65" s="44"/>
      <c r="D65" s="47"/>
      <c r="E65" s="44"/>
      <c r="F65" s="47"/>
      <c r="G65" s="47"/>
      <c r="H65" s="29"/>
      <c r="I65" s="29"/>
      <c r="J65" s="29"/>
      <c r="K65" s="29"/>
      <c r="L65" s="44"/>
      <c r="N65" s="47"/>
      <c r="O65" s="44"/>
    </row>
    <row r="66" spans="1:15" ht="15.75" x14ac:dyDescent="0.25">
      <c r="A66" s="46"/>
      <c r="B66" s="46"/>
      <c r="C66" s="409"/>
      <c r="D66" s="24"/>
      <c r="E66" s="24" t="s">
        <v>58</v>
      </c>
      <c r="F66" s="24" t="s">
        <v>49</v>
      </c>
      <c r="G66" s="24" t="s">
        <v>50</v>
      </c>
      <c r="H66" s="44"/>
      <c r="I66" s="44"/>
      <c r="J66" s="44"/>
      <c r="K66" s="44"/>
      <c r="L66" s="24" t="s">
        <v>125</v>
      </c>
      <c r="M66" s="24" t="s">
        <v>55</v>
      </c>
      <c r="N66" s="44"/>
      <c r="O66" s="24" t="s">
        <v>34</v>
      </c>
    </row>
    <row r="67" spans="1:15" ht="15.75" x14ac:dyDescent="0.25">
      <c r="A67" s="46"/>
      <c r="B67" s="46"/>
      <c r="C67" s="24"/>
      <c r="D67" s="24" t="s">
        <v>744</v>
      </c>
      <c r="E67" s="24" t="s">
        <v>728</v>
      </c>
      <c r="F67" s="24" t="s">
        <v>52</v>
      </c>
      <c r="G67" s="24" t="s">
        <v>728</v>
      </c>
      <c r="H67" s="24" t="s">
        <v>53</v>
      </c>
      <c r="I67" s="44"/>
      <c r="J67" s="44"/>
      <c r="K67" s="24" t="s">
        <v>54</v>
      </c>
      <c r="L67" s="24" t="s">
        <v>56</v>
      </c>
      <c r="M67" s="24" t="s">
        <v>56</v>
      </c>
      <c r="N67" s="24" t="s">
        <v>56</v>
      </c>
      <c r="O67" s="24" t="s">
        <v>728</v>
      </c>
    </row>
    <row r="68" spans="1:15" ht="15.75" x14ac:dyDescent="0.25">
      <c r="A68" s="46"/>
      <c r="B68" s="46"/>
      <c r="C68" s="24" t="s">
        <v>744</v>
      </c>
      <c r="D68" s="24" t="s">
        <v>66</v>
      </c>
      <c r="E68" s="24" t="s">
        <v>67</v>
      </c>
      <c r="F68" s="24" t="s">
        <v>118</v>
      </c>
      <c r="G68" s="24" t="s">
        <v>57</v>
      </c>
      <c r="H68" s="24" t="s">
        <v>58</v>
      </c>
      <c r="I68" s="24" t="s">
        <v>33</v>
      </c>
      <c r="J68" s="24" t="s">
        <v>34</v>
      </c>
      <c r="K68" s="24" t="s">
        <v>59</v>
      </c>
      <c r="L68" s="25" t="s">
        <v>272</v>
      </c>
      <c r="M68" s="25" t="s">
        <v>273</v>
      </c>
      <c r="N68" s="24" t="s">
        <v>355</v>
      </c>
      <c r="O68" s="24" t="s">
        <v>118</v>
      </c>
    </row>
    <row r="69" spans="1:15" ht="15.75" x14ac:dyDescent="0.25">
      <c r="A69" s="25" t="s">
        <v>341</v>
      </c>
      <c r="B69" s="25" t="s">
        <v>339</v>
      </c>
      <c r="C69" s="25" t="s">
        <v>24</v>
      </c>
      <c r="D69" s="25" t="s">
        <v>47</v>
      </c>
      <c r="E69" s="25" t="s">
        <v>60</v>
      </c>
      <c r="F69" s="25" t="s">
        <v>61</v>
      </c>
      <c r="G69" s="25" t="s">
        <v>60</v>
      </c>
      <c r="H69" s="25" t="s">
        <v>62</v>
      </c>
      <c r="I69" s="25" t="s">
        <v>63</v>
      </c>
      <c r="J69" s="25" t="s">
        <v>33</v>
      </c>
      <c r="K69" s="25" t="s">
        <v>64</v>
      </c>
      <c r="L69" s="25" t="s">
        <v>270</v>
      </c>
      <c r="M69" s="25" t="s">
        <v>271</v>
      </c>
      <c r="N69" s="25" t="s">
        <v>45</v>
      </c>
      <c r="O69" s="25" t="s">
        <v>62</v>
      </c>
    </row>
    <row r="70" spans="1:15" ht="15.7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138">
        <f>+N50</f>
        <v>182554.16999999998</v>
      </c>
      <c r="O70" s="24"/>
    </row>
    <row r="71" spans="1:15" ht="15.75" x14ac:dyDescent="0.25">
      <c r="A71" s="26" t="s">
        <v>73</v>
      </c>
      <c r="B71" s="46">
        <v>2026</v>
      </c>
      <c r="C71" s="138">
        <f>'kWh Forecast'!O15</f>
        <v>2258249.9700000002</v>
      </c>
      <c r="D71" s="138">
        <f>'Monthly Revenue Req.(EE&amp;C2_p2)'!R70</f>
        <v>3325049.9699999997</v>
      </c>
      <c r="E71" s="138">
        <f>O49</f>
        <v>7562751.4200000009</v>
      </c>
      <c r="F71" s="138">
        <f>-D71+C71</f>
        <v>-1066799.9999999995</v>
      </c>
      <c r="G71" s="138">
        <f>SUM(E71:F71)</f>
        <v>6495951.4200000018</v>
      </c>
      <c r="H71" s="47">
        <f t="shared" ref="H71:H76" si="26">(G71+E71)/2</f>
        <v>7029351.4200000018</v>
      </c>
      <c r="I71" s="405">
        <v>0.28110000000000002</v>
      </c>
      <c r="J71" s="47">
        <f>ROUND(H71*I71,2)</f>
        <v>1975950.68</v>
      </c>
      <c r="K71" s="47">
        <f t="shared" ref="K71:K76" si="27">H71-J71</f>
        <v>5053400.7400000021</v>
      </c>
      <c r="L71" s="406">
        <f>L49</f>
        <v>4.1399999999999999E-2</v>
      </c>
      <c r="M71" s="407">
        <f t="shared" ref="M71:M76" si="28">+L71/12</f>
        <v>3.4499999999999999E-3</v>
      </c>
      <c r="N71" s="29">
        <f t="shared" ref="N71:N76" si="29">ROUND(K71*M71,2)</f>
        <v>17434.23</v>
      </c>
      <c r="O71" s="47">
        <f>SUM(N$71:N71)+G71</f>
        <v>6513385.6500000022</v>
      </c>
    </row>
    <row r="72" spans="1:15" ht="15.75" x14ac:dyDescent="0.25">
      <c r="A72" s="26" t="s">
        <v>74</v>
      </c>
      <c r="B72" s="46">
        <f t="shared" ref="B72:B76" si="30">+B71</f>
        <v>2026</v>
      </c>
      <c r="C72" s="29">
        <f>'kWh Forecast'!O16</f>
        <v>1947554.93</v>
      </c>
      <c r="D72" s="29">
        <f>'Monthly Revenue Req.(EE&amp;C2_p2)'!R71</f>
        <v>2920529.59</v>
      </c>
      <c r="E72" s="29">
        <f>+G71</f>
        <v>6495951.4200000018</v>
      </c>
      <c r="F72" s="29">
        <f t="shared" ref="F72:F76" si="31">-D72+C72</f>
        <v>-972974.65999999992</v>
      </c>
      <c r="G72" s="29">
        <f t="shared" ref="G72:G76" si="32">SUM(E72:F72)</f>
        <v>5522976.7600000016</v>
      </c>
      <c r="H72" s="29">
        <f t="shared" si="26"/>
        <v>6009464.0900000017</v>
      </c>
      <c r="I72" s="405">
        <v>0.28110000000000002</v>
      </c>
      <c r="J72" s="29">
        <f t="shared" ref="J72:J76" si="33">ROUND(H72*I72,2)</f>
        <v>1689260.36</v>
      </c>
      <c r="K72" s="29">
        <f t="shared" si="27"/>
        <v>4320203.7300000014</v>
      </c>
      <c r="L72" s="406">
        <f>L71</f>
        <v>4.1399999999999999E-2</v>
      </c>
      <c r="M72" s="407">
        <f t="shared" si="28"/>
        <v>3.4499999999999999E-3</v>
      </c>
      <c r="N72" s="29">
        <f t="shared" si="29"/>
        <v>14904.7</v>
      </c>
      <c r="O72" s="29">
        <f>SUM(N$71:N72)+G72</f>
        <v>5555315.6900000013</v>
      </c>
    </row>
    <row r="73" spans="1:15" ht="15.75" x14ac:dyDescent="0.25">
      <c r="A73" s="26" t="s">
        <v>75</v>
      </c>
      <c r="B73" s="46">
        <f t="shared" si="30"/>
        <v>2026</v>
      </c>
      <c r="C73" s="28">
        <f>'kWh Forecast'!O17</f>
        <v>1931877.84</v>
      </c>
      <c r="D73" s="28">
        <f>'Monthly Revenue Req.(EE&amp;C2_p2)'!R72</f>
        <v>3164588.8</v>
      </c>
      <c r="E73" s="28">
        <f>+G72</f>
        <v>5522976.7600000016</v>
      </c>
      <c r="F73" s="28">
        <f t="shared" si="31"/>
        <v>-1232710.9599999997</v>
      </c>
      <c r="G73" s="28">
        <f t="shared" si="32"/>
        <v>4290265.8000000017</v>
      </c>
      <c r="H73" s="28">
        <f t="shared" si="26"/>
        <v>4906621.2800000012</v>
      </c>
      <c r="I73" s="62">
        <v>0.28110000000000002</v>
      </c>
      <c r="J73" s="28">
        <f t="shared" si="33"/>
        <v>1379251.24</v>
      </c>
      <c r="K73" s="28">
        <f t="shared" si="27"/>
        <v>3527370.040000001</v>
      </c>
      <c r="L73" s="74">
        <f t="shared" ref="L73:L76" si="34">L72</f>
        <v>4.1399999999999999E-2</v>
      </c>
      <c r="M73" s="68">
        <f t="shared" si="28"/>
        <v>3.4499999999999999E-3</v>
      </c>
      <c r="N73" s="28">
        <f t="shared" si="29"/>
        <v>12169.43</v>
      </c>
      <c r="O73" s="28">
        <f>SUM(N$71:N73)+G73</f>
        <v>4334774.160000002</v>
      </c>
    </row>
    <row r="74" spans="1:15" ht="15.75" x14ac:dyDescent="0.25">
      <c r="A74" s="26" t="s">
        <v>76</v>
      </c>
      <c r="B74" s="46">
        <f t="shared" si="30"/>
        <v>2026</v>
      </c>
      <c r="C74" s="28">
        <f>'kWh Forecast'!O18</f>
        <v>1666160.4</v>
      </c>
      <c r="D74" s="28">
        <f>'Monthly Revenue Req.(EE&amp;C2_p2)'!R73</f>
        <v>3369735.92</v>
      </c>
      <c r="E74" s="28">
        <f>+G73</f>
        <v>4290265.8000000017</v>
      </c>
      <c r="F74" s="28">
        <f t="shared" si="31"/>
        <v>-1703575.52</v>
      </c>
      <c r="G74" s="28">
        <f t="shared" si="32"/>
        <v>2586690.2800000017</v>
      </c>
      <c r="H74" s="28">
        <f t="shared" si="26"/>
        <v>3438478.0400000019</v>
      </c>
      <c r="I74" s="62">
        <v>0.28110000000000002</v>
      </c>
      <c r="J74" s="28">
        <f t="shared" si="33"/>
        <v>966556.18</v>
      </c>
      <c r="K74" s="28">
        <f t="shared" si="27"/>
        <v>2471921.8600000017</v>
      </c>
      <c r="L74" s="74">
        <f t="shared" si="34"/>
        <v>4.1399999999999999E-2</v>
      </c>
      <c r="M74" s="68">
        <f t="shared" si="28"/>
        <v>3.4499999999999999E-3</v>
      </c>
      <c r="N74" s="28">
        <f t="shared" si="29"/>
        <v>8528.1299999999992</v>
      </c>
      <c r="O74" s="28">
        <f>SUM(N$71:N74)+G74</f>
        <v>2639726.7700000019</v>
      </c>
    </row>
    <row r="75" spans="1:15" ht="15.75" x14ac:dyDescent="0.25">
      <c r="A75" s="26" t="s">
        <v>77</v>
      </c>
      <c r="B75" s="46">
        <f t="shared" si="30"/>
        <v>2026</v>
      </c>
      <c r="C75" s="28">
        <f>'kWh Forecast'!O19</f>
        <v>1829894.15</v>
      </c>
      <c r="D75" s="28">
        <f>'Monthly Revenue Req.(EE&amp;C2_p2)'!R74</f>
        <v>3588677.21</v>
      </c>
      <c r="E75" s="28">
        <f>+G74</f>
        <v>2586690.2800000017</v>
      </c>
      <c r="F75" s="28">
        <f t="shared" si="31"/>
        <v>-1758783.06</v>
      </c>
      <c r="G75" s="28">
        <f t="shared" si="32"/>
        <v>827907.2200000016</v>
      </c>
      <c r="H75" s="28">
        <f t="shared" si="26"/>
        <v>1707298.7500000016</v>
      </c>
      <c r="I75" s="62">
        <v>0.28110000000000002</v>
      </c>
      <c r="J75" s="28">
        <f t="shared" si="33"/>
        <v>479921.68</v>
      </c>
      <c r="K75" s="28">
        <f t="shared" si="27"/>
        <v>1227377.0700000017</v>
      </c>
      <c r="L75" s="74">
        <f t="shared" si="34"/>
        <v>4.1399999999999999E-2</v>
      </c>
      <c r="M75" s="68">
        <f t="shared" si="28"/>
        <v>3.4499999999999999E-3</v>
      </c>
      <c r="N75" s="28">
        <f t="shared" si="29"/>
        <v>4234.45</v>
      </c>
      <c r="O75" s="28">
        <f>SUM(N$71:N75)+G75</f>
        <v>885178.16000000155</v>
      </c>
    </row>
    <row r="76" spans="1:15" ht="15.75" x14ac:dyDescent="0.25">
      <c r="A76" s="26" t="s">
        <v>78</v>
      </c>
      <c r="B76" s="46">
        <f t="shared" si="30"/>
        <v>2026</v>
      </c>
      <c r="C76" s="28">
        <f>'kWh Forecast'!O20</f>
        <v>2226243.83</v>
      </c>
      <c r="D76" s="28">
        <f>'Monthly Revenue Req.(EE&amp;C2_p2)'!R75</f>
        <v>5367339.33</v>
      </c>
      <c r="E76" s="28">
        <f>+G75</f>
        <v>827907.2200000016</v>
      </c>
      <c r="F76" s="28">
        <f t="shared" si="31"/>
        <v>-3141095.5</v>
      </c>
      <c r="G76" s="28">
        <f t="shared" si="32"/>
        <v>-2313188.2799999984</v>
      </c>
      <c r="H76" s="28">
        <f t="shared" si="26"/>
        <v>-742640.5299999984</v>
      </c>
      <c r="I76" s="62">
        <v>0.28110000000000002</v>
      </c>
      <c r="J76" s="28">
        <f t="shared" si="33"/>
        <v>-208756.25</v>
      </c>
      <c r="K76" s="28">
        <f t="shared" si="27"/>
        <v>-533884.2799999984</v>
      </c>
      <c r="L76" s="74">
        <f t="shared" si="34"/>
        <v>4.1399999999999999E-2</v>
      </c>
      <c r="M76" s="68">
        <f t="shared" si="28"/>
        <v>3.4499999999999999E-3</v>
      </c>
      <c r="N76" s="28">
        <f t="shared" si="29"/>
        <v>-1841.9</v>
      </c>
      <c r="O76" s="28">
        <f>SUM(N$71:N76)+G76</f>
        <v>-2257759.2399999984</v>
      </c>
    </row>
    <row r="77" spans="1:15" ht="16.5" thickBot="1" x14ac:dyDescent="0.3">
      <c r="A77" s="46" t="s">
        <v>15</v>
      </c>
      <c r="B77" s="46">
        <f>+B76</f>
        <v>2026</v>
      </c>
      <c r="C77" s="63">
        <f>SUM(C71:C76)</f>
        <v>11859981.120000001</v>
      </c>
      <c r="D77" s="63">
        <f>SUM(D71:D76)</f>
        <v>21735920.82</v>
      </c>
      <c r="E77" s="28"/>
      <c r="F77" s="63">
        <f>SUM(F71:F76)</f>
        <v>-9875939.6999999993</v>
      </c>
      <c r="G77" s="44"/>
      <c r="H77" s="28">
        <v>0</v>
      </c>
      <c r="I77" s="28"/>
      <c r="J77" s="28"/>
      <c r="K77" s="28"/>
      <c r="L77" s="44"/>
      <c r="M77" s="44"/>
      <c r="N77" s="48">
        <f>SUM(N70:N76)</f>
        <v>237983.21000000002</v>
      </c>
      <c r="O77" s="28"/>
    </row>
    <row r="78" spans="1:15" ht="16.5" thickTop="1" x14ac:dyDescent="0.25">
      <c r="A78" s="44"/>
      <c r="B78" s="44"/>
      <c r="C78" s="44"/>
      <c r="D78" s="47"/>
      <c r="E78" s="44"/>
      <c r="F78" s="47"/>
      <c r="G78" s="47"/>
      <c r="H78" s="28"/>
      <c r="I78" s="28"/>
      <c r="J78" s="28"/>
      <c r="K78" s="28"/>
      <c r="L78" s="44"/>
      <c r="N78" s="47"/>
      <c r="O78" s="44"/>
    </row>
    <row r="79" spans="1:15" ht="15.75" x14ac:dyDescent="0.25">
      <c r="A79" s="44" t="s">
        <v>68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7"/>
      <c r="O79" s="67"/>
    </row>
    <row r="80" spans="1:15" ht="15.75" x14ac:dyDescent="0.25">
      <c r="A80" s="44" t="s">
        <v>764</v>
      </c>
      <c r="B80" s="44"/>
      <c r="N80" s="8"/>
      <c r="O80" s="67"/>
    </row>
    <row r="81" spans="1:15" ht="15.75" x14ac:dyDescent="0.25">
      <c r="F81" s="76" t="s">
        <v>275</v>
      </c>
      <c r="G81" s="74">
        <v>3.5400000000000001E-2</v>
      </c>
      <c r="O81" s="67"/>
    </row>
    <row r="82" spans="1:15" ht="15.75" x14ac:dyDescent="0.25">
      <c r="F82" s="76" t="s">
        <v>274</v>
      </c>
      <c r="G82" s="74">
        <v>6.0000000000000001E-3</v>
      </c>
      <c r="O82" s="67"/>
    </row>
    <row r="83" spans="1:15" ht="16.5" thickBot="1" x14ac:dyDescent="0.3">
      <c r="F83" s="76" t="s">
        <v>734</v>
      </c>
      <c r="G83" s="75">
        <f>+G81+G82</f>
        <v>4.1399999999999999E-2</v>
      </c>
    </row>
    <row r="84" spans="1:15" ht="15.75" thickTop="1" x14ac:dyDescent="0.25"/>
    <row r="85" spans="1:15" x14ac:dyDescent="0.25">
      <c r="A85" s="149" t="s">
        <v>356</v>
      </c>
      <c r="B85" s="149"/>
      <c r="C85" s="3"/>
      <c r="D85" s="3"/>
      <c r="E85" s="3"/>
    </row>
    <row r="86" spans="1:15" x14ac:dyDescent="0.25">
      <c r="A86" s="120" t="s">
        <v>326</v>
      </c>
      <c r="B86" s="120"/>
    </row>
    <row r="87" spans="1:15" x14ac:dyDescent="0.25">
      <c r="A87" s="120" t="s">
        <v>327</v>
      </c>
      <c r="B87" s="120"/>
    </row>
    <row r="88" spans="1:15" x14ac:dyDescent="0.25">
      <c r="A88" s="120" t="s">
        <v>328</v>
      </c>
      <c r="B88" s="120"/>
    </row>
    <row r="89" spans="1:15" x14ac:dyDescent="0.25">
      <c r="A89" s="120" t="s">
        <v>329</v>
      </c>
      <c r="B89" s="120"/>
    </row>
    <row r="90" spans="1:15" x14ac:dyDescent="0.25">
      <c r="A90" s="120" t="s">
        <v>330</v>
      </c>
      <c r="B90" s="120"/>
    </row>
    <row r="91" spans="1:15" x14ac:dyDescent="0.25">
      <c r="A91" s="120" t="s">
        <v>333</v>
      </c>
      <c r="B91" s="120"/>
    </row>
    <row r="92" spans="1:15" x14ac:dyDescent="0.25">
      <c r="A92" s="120" t="s">
        <v>332</v>
      </c>
      <c r="B92" s="120"/>
    </row>
    <row r="93" spans="1:15" x14ac:dyDescent="0.25">
      <c r="A93" s="120" t="s">
        <v>331</v>
      </c>
      <c r="B93" s="120"/>
    </row>
    <row r="96" spans="1:15" x14ac:dyDescent="0.25">
      <c r="O96" s="13"/>
    </row>
  </sheetData>
  <printOptions horizontalCentered="1"/>
  <pageMargins left="0.25" right="0.25" top="0.25" bottom="0.25" header="0.3" footer="0.3"/>
  <pageSetup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196B7-EED1-44D2-977D-982AA0F8E3C0}">
  <sheetPr>
    <pageSetUpPr fitToPage="1"/>
  </sheetPr>
  <dimension ref="A1:U44"/>
  <sheetViews>
    <sheetView view="pageBreakPreview" zoomScaleNormal="100" zoomScaleSheetLayoutView="100" workbookViewId="0">
      <pane xSplit="2" ySplit="14" topLeftCell="C15" activePane="bottomRight" state="frozen"/>
      <selection activeCell="O7" sqref="O7"/>
      <selection pane="topRight" activeCell="O7" sqref="O7"/>
      <selection pane="bottomLeft" activeCell="O7" sqref="O7"/>
      <selection pane="bottomRight" activeCell="U17" sqref="U17:Y29"/>
    </sheetView>
  </sheetViews>
  <sheetFormatPr defaultRowHeight="15" x14ac:dyDescent="0.25"/>
  <cols>
    <col min="1" max="2" width="6.140625" customWidth="1"/>
    <col min="3" max="3" width="13.7109375" bestFit="1" customWidth="1"/>
    <col min="4" max="4" width="15.42578125" bestFit="1" customWidth="1"/>
    <col min="5" max="5" width="15.28515625" bestFit="1" customWidth="1"/>
    <col min="6" max="6" width="13.7109375" bestFit="1" customWidth="1"/>
    <col min="7" max="7" width="15.42578125" bestFit="1" customWidth="1"/>
    <col min="8" max="8" width="13.140625" bestFit="1" customWidth="1"/>
    <col min="9" max="9" width="13.7109375" bestFit="1" customWidth="1"/>
    <col min="10" max="10" width="15.28515625" bestFit="1" customWidth="1"/>
    <col min="11" max="11" width="14.28515625" bestFit="1" customWidth="1"/>
    <col min="12" max="13" width="12.5703125" bestFit="1" customWidth="1"/>
    <col min="14" max="14" width="13.140625" bestFit="1" customWidth="1"/>
    <col min="15" max="15" width="13.7109375" bestFit="1" customWidth="1"/>
    <col min="16" max="16" width="12.5703125" bestFit="1" customWidth="1"/>
    <col min="17" max="17" width="12.7109375" bestFit="1" customWidth="1"/>
    <col min="18" max="18" width="12.7109375" customWidth="1"/>
    <col min="19" max="19" width="3.7109375" customWidth="1"/>
    <col min="20" max="20" width="11.5703125" style="1" bestFit="1" customWidth="1"/>
    <col min="21" max="21" width="14.28515625" bestFit="1" customWidth="1"/>
  </cols>
  <sheetData>
    <row r="1" spans="1:21" ht="19.5" thickBot="1" x14ac:dyDescent="0.35">
      <c r="R1" s="146" t="str">
        <f>+'Revs by Rate Class (EE&amp;C2_p1)'!I1</f>
        <v>Attachment EE&amp;C2-1</v>
      </c>
      <c r="T1" s="118" t="s">
        <v>309</v>
      </c>
      <c r="U1" s="119">
        <v>2</v>
      </c>
    </row>
    <row r="2" spans="1:21" ht="19.5" thickTop="1" x14ac:dyDescent="0.3">
      <c r="R2" s="146" t="s">
        <v>123</v>
      </c>
    </row>
    <row r="3" spans="1:21" ht="18.75" x14ac:dyDescent="0.25">
      <c r="A3" s="166" t="s">
        <v>0</v>
      </c>
      <c r="B3" s="53"/>
      <c r="C3" s="54"/>
      <c r="D3" s="54"/>
      <c r="E3" s="54"/>
      <c r="F3" s="54"/>
      <c r="G3" s="54"/>
      <c r="H3" s="54"/>
      <c r="I3" s="54"/>
      <c r="J3" s="54"/>
      <c r="K3" s="55"/>
      <c r="L3" s="55"/>
      <c r="M3" s="55"/>
      <c r="N3" s="55"/>
      <c r="O3" s="55"/>
      <c r="P3" s="55"/>
      <c r="Q3" s="55"/>
      <c r="R3" s="55"/>
    </row>
    <row r="4" spans="1:21" ht="18.75" x14ac:dyDescent="0.3">
      <c r="A4" s="147" t="str">
        <f>+'Revs by Rate Class (EE&amp;C2_p1)'!B5</f>
        <v xml:space="preserve">Energy Efficiency &amp; Conservation Triennium 2 Program ("EE&amp;C2")  </v>
      </c>
      <c r="B4" s="3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21" ht="18.75" x14ac:dyDescent="0.3">
      <c r="A5" s="147" t="s">
        <v>709</v>
      </c>
      <c r="B5" s="3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</row>
    <row r="6" spans="1:21" ht="18.75" x14ac:dyDescent="0.3">
      <c r="A6" s="147" t="s">
        <v>761</v>
      </c>
      <c r="B6" s="33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</row>
    <row r="7" spans="1:21" ht="12" customHeight="1" x14ac:dyDescent="0.3">
      <c r="A7" s="33"/>
      <c r="B7" s="33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</row>
    <row r="8" spans="1:21" ht="14.25" customHeight="1" x14ac:dyDescent="0.25"/>
    <row r="9" spans="1:21" ht="15.75" x14ac:dyDescent="0.25">
      <c r="A9" s="4"/>
      <c r="B9" s="4"/>
      <c r="C9" s="299" t="s">
        <v>732</v>
      </c>
      <c r="D9" s="300"/>
      <c r="E9" s="300"/>
      <c r="F9" s="300"/>
      <c r="G9" s="300"/>
      <c r="H9" s="300"/>
      <c r="I9" s="301"/>
      <c r="J9" s="299" t="s">
        <v>26</v>
      </c>
      <c r="K9" s="300"/>
      <c r="L9" s="300"/>
      <c r="M9" s="317"/>
      <c r="N9" s="317"/>
      <c r="O9" s="318"/>
      <c r="P9" s="44"/>
      <c r="Q9" s="44"/>
      <c r="R9" s="44"/>
    </row>
    <row r="10" spans="1:21" ht="15.75" x14ac:dyDescent="0.25">
      <c r="A10" s="44"/>
      <c r="B10" s="44"/>
      <c r="C10" s="171" t="s">
        <v>28</v>
      </c>
      <c r="D10" s="2" t="s">
        <v>27</v>
      </c>
      <c r="G10" s="2" t="s">
        <v>28</v>
      </c>
      <c r="H10" s="2"/>
      <c r="I10" s="172"/>
      <c r="J10" s="304"/>
      <c r="M10" s="2" t="s">
        <v>34</v>
      </c>
      <c r="O10" s="305"/>
      <c r="P10" s="44"/>
      <c r="Q10" s="44"/>
      <c r="R10" s="44"/>
      <c r="S10" s="1"/>
      <c r="T10"/>
    </row>
    <row r="11" spans="1:21" ht="16.5" thickBot="1" x14ac:dyDescent="0.3">
      <c r="A11" s="44"/>
      <c r="B11" s="44"/>
      <c r="C11" s="171" t="s">
        <v>312</v>
      </c>
      <c r="D11" s="2" t="s">
        <v>28</v>
      </c>
      <c r="E11" s="2"/>
      <c r="G11" s="2" t="s">
        <v>312</v>
      </c>
      <c r="H11" s="2"/>
      <c r="I11" s="172"/>
      <c r="J11" s="304"/>
      <c r="K11" s="2" t="s">
        <v>29</v>
      </c>
      <c r="L11" s="2" t="s">
        <v>27</v>
      </c>
      <c r="M11" s="2" t="s">
        <v>39</v>
      </c>
      <c r="N11" s="319" t="s">
        <v>30</v>
      </c>
      <c r="O11" s="305"/>
      <c r="P11" s="44"/>
      <c r="Q11" s="44"/>
      <c r="R11" s="44"/>
      <c r="S11" s="1"/>
      <c r="T11"/>
    </row>
    <row r="12" spans="1:21" ht="16.5" thickBot="1" x14ac:dyDescent="0.3">
      <c r="A12" s="44"/>
      <c r="B12" s="44"/>
      <c r="C12" s="171" t="s">
        <v>283</v>
      </c>
      <c r="D12" s="2" t="s">
        <v>312</v>
      </c>
      <c r="E12" s="2" t="s">
        <v>32</v>
      </c>
      <c r="F12" s="2" t="s">
        <v>27</v>
      </c>
      <c r="G12" s="2" t="s">
        <v>311</v>
      </c>
      <c r="H12" s="2" t="s">
        <v>27</v>
      </c>
      <c r="I12" s="172" t="s">
        <v>27</v>
      </c>
      <c r="J12" s="171" t="s">
        <v>284</v>
      </c>
      <c r="K12" s="2" t="s">
        <v>284</v>
      </c>
      <c r="L12" s="2" t="s">
        <v>33</v>
      </c>
      <c r="M12" s="2" t="s">
        <v>33</v>
      </c>
      <c r="N12" s="2" t="s">
        <v>35</v>
      </c>
      <c r="O12" s="305"/>
      <c r="P12" s="316">
        <f>+'CAP-1 WACC'!F16</f>
        <v>7.6083333333333324E-3</v>
      </c>
      <c r="Q12" s="9" t="s">
        <v>36</v>
      </c>
      <c r="R12" s="9" t="s">
        <v>728</v>
      </c>
      <c r="S12" s="1"/>
      <c r="T12"/>
    </row>
    <row r="13" spans="1:21" ht="16.5" thickBot="1" x14ac:dyDescent="0.3">
      <c r="A13" s="44"/>
      <c r="B13" s="44"/>
      <c r="C13" s="171" t="s">
        <v>31</v>
      </c>
      <c r="D13" s="2" t="s">
        <v>311</v>
      </c>
      <c r="E13" s="2" t="s">
        <v>60</v>
      </c>
      <c r="F13" s="2" t="s">
        <v>15</v>
      </c>
      <c r="G13" s="2" t="s">
        <v>37</v>
      </c>
      <c r="H13" s="2" t="s">
        <v>37</v>
      </c>
      <c r="I13" s="172" t="s">
        <v>40</v>
      </c>
      <c r="J13" s="171" t="s">
        <v>38</v>
      </c>
      <c r="K13" s="2" t="s">
        <v>38</v>
      </c>
      <c r="L13" s="2" t="s">
        <v>38</v>
      </c>
      <c r="M13" s="2" t="s">
        <v>124</v>
      </c>
      <c r="N13" s="2" t="s">
        <v>39</v>
      </c>
      <c r="O13" s="172" t="s">
        <v>40</v>
      </c>
      <c r="P13" s="2" t="s">
        <v>41</v>
      </c>
      <c r="Q13" s="2" t="s">
        <v>42</v>
      </c>
      <c r="R13" s="2" t="s">
        <v>43</v>
      </c>
      <c r="S13" s="1"/>
      <c r="T13"/>
    </row>
    <row r="14" spans="1:21" ht="15.75" thickBot="1" x14ac:dyDescent="0.3">
      <c r="A14" s="10" t="s">
        <v>341</v>
      </c>
      <c r="B14" s="10" t="s">
        <v>339</v>
      </c>
      <c r="C14" s="302" t="s">
        <v>44</v>
      </c>
      <c r="D14" s="10" t="s">
        <v>44</v>
      </c>
      <c r="E14" s="10" t="s">
        <v>290</v>
      </c>
      <c r="F14" s="10" t="s">
        <v>44</v>
      </c>
      <c r="G14" s="10" t="s">
        <v>45</v>
      </c>
      <c r="H14" s="10" t="s">
        <v>45</v>
      </c>
      <c r="I14" s="303" t="s">
        <v>44</v>
      </c>
      <c r="J14" s="302" t="s">
        <v>292</v>
      </c>
      <c r="K14" s="10" t="s">
        <v>292</v>
      </c>
      <c r="L14" s="10" t="s">
        <v>45</v>
      </c>
      <c r="M14" s="42">
        <v>0.28110000000000002</v>
      </c>
      <c r="N14" s="10" t="s">
        <v>33</v>
      </c>
      <c r="O14" s="303" t="s">
        <v>44</v>
      </c>
      <c r="P14" s="10" t="s">
        <v>46</v>
      </c>
      <c r="Q14" s="10" t="s">
        <v>45</v>
      </c>
      <c r="R14" s="10" t="s">
        <v>47</v>
      </c>
      <c r="T14" s="41"/>
      <c r="U14" s="41"/>
    </row>
    <row r="15" spans="1:21" ht="15.75" x14ac:dyDescent="0.25">
      <c r="A15" s="445" t="s">
        <v>765</v>
      </c>
      <c r="B15" s="433"/>
      <c r="C15" s="304"/>
      <c r="D15" s="164">
        <f>ROUND('Monthly Revenue Req.(EE&amp;C2_p2)'!D75,U$1)</f>
        <v>211207800.34999999</v>
      </c>
      <c r="E15" s="164"/>
      <c r="G15" s="164"/>
      <c r="H15" s="164">
        <f>+'Monthly Revenue Req.(EE&amp;C2_p2)'!H75</f>
        <v>12256137.880000001</v>
      </c>
      <c r="I15" s="305"/>
      <c r="J15" s="306"/>
      <c r="K15" s="8">
        <f>+'Monthly Revenue Req.(EE&amp;C2_p2)'!K75</f>
        <v>12256137.880000001</v>
      </c>
      <c r="L15" s="163"/>
      <c r="N15" s="326">
        <f>ROUND('Monthly Revenue Req.(EE&amp;C2_p2)'!N75,U$1)</f>
        <v>55925312.32</v>
      </c>
      <c r="O15" s="324"/>
      <c r="T15" s="18"/>
      <c r="U15" s="325"/>
    </row>
    <row r="16" spans="1:21" x14ac:dyDescent="0.25">
      <c r="A16" s="37" t="s">
        <v>79</v>
      </c>
      <c r="B16" s="1">
        <v>2026</v>
      </c>
      <c r="C16" s="306">
        <v>10765974.839532699</v>
      </c>
      <c r="D16" s="327">
        <f>+D15+C16</f>
        <v>221973775.1895327</v>
      </c>
      <c r="E16" s="163">
        <v>63823438.200000003</v>
      </c>
      <c r="F16" s="163">
        <f t="shared" ref="F16:F27" si="0">+D16+E16</f>
        <v>285797213.38953269</v>
      </c>
      <c r="G16" s="163">
        <f>SUM($C$16/120)+'Monthly Revenue Req.(EE&amp;C2_p2)'!G75</f>
        <v>1849781.4569961058</v>
      </c>
      <c r="H16" s="390">
        <f>+G16+H15</f>
        <v>14105919.336996106</v>
      </c>
      <c r="I16" s="391">
        <f>+F16-H16</f>
        <v>271691294.05253661</v>
      </c>
      <c r="J16" s="306">
        <f>+E16+G16</f>
        <v>65673219.656996109</v>
      </c>
      <c r="K16" s="308">
        <f>+K15+J16</f>
        <v>77929357.536996111</v>
      </c>
      <c r="L16" s="326">
        <f t="shared" ref="L16:L23" si="1">+C16+E16</f>
        <v>74589413.039532706</v>
      </c>
      <c r="M16" s="430">
        <f t="shared" ref="M16:M27" si="2">(L16-J16)*M$14</f>
        <v>2506341.9598310376</v>
      </c>
      <c r="N16" s="312">
        <f t="shared" ref="N16:N27" si="3">N15+M16</f>
        <v>58431654.279831037</v>
      </c>
      <c r="O16" s="391">
        <f>+I16-N16</f>
        <v>213259639.77270555</v>
      </c>
      <c r="P16" s="392">
        <f>ROUND(O16*$P$12,2)</f>
        <v>1622550.43</v>
      </c>
      <c r="Q16" s="326">
        <v>940701.41336507443</v>
      </c>
      <c r="R16" s="326">
        <f>+G16+P16+Q16</f>
        <v>4413033.3003611807</v>
      </c>
      <c r="T16" s="393"/>
      <c r="U16" s="394"/>
    </row>
    <row r="17" spans="1:21" x14ac:dyDescent="0.25">
      <c r="A17" s="37" t="s">
        <v>80</v>
      </c>
      <c r="B17" s="1">
        <f>+B16</f>
        <v>2026</v>
      </c>
      <c r="C17" s="395">
        <v>10764694.260191478</v>
      </c>
      <c r="D17" s="327">
        <f t="shared" ref="D17:D27" si="4">D16+C17</f>
        <v>232738469.44972417</v>
      </c>
      <c r="E17" s="327">
        <v>70493438.200000003</v>
      </c>
      <c r="F17" s="327">
        <f t="shared" si="0"/>
        <v>303231907.64972419</v>
      </c>
      <c r="G17" s="308" cm="1">
        <f t="array" ref="G17">SUM($C$16:C17/120)+'Monthly Revenue Req.(EE&amp;C2_p2)'!G75</f>
        <v>1939487.2424977014</v>
      </c>
      <c r="H17" s="390">
        <f t="shared" ref="H17:H27" si="5">+G17+H16</f>
        <v>16045406.579493808</v>
      </c>
      <c r="I17" s="396">
        <f>+F17-H17</f>
        <v>287186501.07023036</v>
      </c>
      <c r="J17" s="307">
        <f t="shared" ref="J17:J27" si="6">+E17+G17</f>
        <v>72432925.4424977</v>
      </c>
      <c r="K17" s="308">
        <f>+K16+J17</f>
        <v>150362282.9794938</v>
      </c>
      <c r="L17" s="327">
        <f t="shared" si="1"/>
        <v>81258132.460191488</v>
      </c>
      <c r="M17" s="327">
        <f t="shared" si="2"/>
        <v>2480765.6926737237</v>
      </c>
      <c r="N17" s="327">
        <f t="shared" si="3"/>
        <v>60912419.972504757</v>
      </c>
      <c r="O17" s="396">
        <f t="shared" ref="O17:O27" si="7">+I17-N17</f>
        <v>226274081.0977256</v>
      </c>
      <c r="P17" s="395">
        <f t="shared" ref="P17:P27" si="8">ROUND(O17*$P$12,2)</f>
        <v>1721568.63</v>
      </c>
      <c r="Q17" s="327">
        <v>792623.2855767163</v>
      </c>
      <c r="R17" s="327">
        <f t="shared" ref="R17:R27" si="9">+G17+P17+Q17</f>
        <v>4453679.1580744172</v>
      </c>
      <c r="T17" s="393"/>
      <c r="U17" s="394"/>
    </row>
    <row r="18" spans="1:21" x14ac:dyDescent="0.25">
      <c r="A18" s="37" t="s">
        <v>81</v>
      </c>
      <c r="B18" s="1">
        <f>+B17</f>
        <v>2026</v>
      </c>
      <c r="C18" s="395">
        <v>10787600.616477005</v>
      </c>
      <c r="D18" s="327">
        <f t="shared" si="4"/>
        <v>243526070.06620118</v>
      </c>
      <c r="E18" s="327">
        <v>77058438.200000003</v>
      </c>
      <c r="F18" s="327">
        <f t="shared" si="0"/>
        <v>320584508.2662012</v>
      </c>
      <c r="G18" s="308" cm="1">
        <f t="array" ref="G18">SUM($C$16:C18/120)+'Monthly Revenue Req.(EE&amp;C2_p2)'!G75</f>
        <v>2029383.9143016767</v>
      </c>
      <c r="H18" s="390">
        <f t="shared" si="5"/>
        <v>18074790.493795484</v>
      </c>
      <c r="I18" s="396">
        <f t="shared" ref="I18:I27" si="10">+F18-H18</f>
        <v>302509717.77240574</v>
      </c>
      <c r="J18" s="307">
        <f t="shared" si="6"/>
        <v>79087822.114301682</v>
      </c>
      <c r="K18" s="308">
        <f>+K17+J18</f>
        <v>229450105.09379548</v>
      </c>
      <c r="L18" s="327">
        <f t="shared" si="1"/>
        <v>87846038.816477001</v>
      </c>
      <c r="M18" s="327">
        <f t="shared" si="2"/>
        <v>2461934.7149814824</v>
      </c>
      <c r="N18" s="327">
        <f t="shared" si="3"/>
        <v>63374354.687486239</v>
      </c>
      <c r="O18" s="396">
        <f t="shared" si="7"/>
        <v>239135363.08491951</v>
      </c>
      <c r="P18" s="395">
        <f t="shared" si="8"/>
        <v>1819421.55</v>
      </c>
      <c r="Q18" s="327">
        <v>792623.2855767163</v>
      </c>
      <c r="R18" s="327">
        <f t="shared" si="9"/>
        <v>4641428.7498783926</v>
      </c>
      <c r="T18" s="393"/>
      <c r="U18" s="394"/>
    </row>
    <row r="19" spans="1:21" x14ac:dyDescent="0.25">
      <c r="A19" s="37" t="s">
        <v>82</v>
      </c>
      <c r="B19" s="1">
        <f>+B18</f>
        <v>2026</v>
      </c>
      <c r="C19" s="395">
        <v>10800913.120157149</v>
      </c>
      <c r="D19" s="327">
        <f t="shared" si="4"/>
        <v>254326983.18635833</v>
      </c>
      <c r="E19" s="327">
        <v>84538438.200000003</v>
      </c>
      <c r="F19" s="327">
        <f t="shared" si="0"/>
        <v>338865421.38635832</v>
      </c>
      <c r="G19" s="308" cm="1">
        <f t="array" ref="G19">SUM($C$16:C19/120)+'Monthly Revenue Req.(EE&amp;C2_p2)'!G75</f>
        <v>2119391.5236363197</v>
      </c>
      <c r="H19" s="390">
        <f t="shared" si="5"/>
        <v>20194182.017431803</v>
      </c>
      <c r="I19" s="396">
        <f t="shared" si="10"/>
        <v>318671239.36892653</v>
      </c>
      <c r="J19" s="307">
        <f t="shared" si="6"/>
        <v>86657829.723636329</v>
      </c>
      <c r="K19" s="308">
        <f t="shared" ref="K19:K27" si="11">+K18+J19</f>
        <v>316107934.81743181</v>
      </c>
      <c r="L19" s="327">
        <f t="shared" si="1"/>
        <v>95339351.320157155</v>
      </c>
      <c r="M19" s="327">
        <f t="shared" si="2"/>
        <v>2440375.7207820043</v>
      </c>
      <c r="N19" s="327">
        <f t="shared" si="3"/>
        <v>65814730.408268243</v>
      </c>
      <c r="O19" s="396">
        <f t="shared" si="7"/>
        <v>252856508.96065828</v>
      </c>
      <c r="P19" s="395">
        <f t="shared" si="8"/>
        <v>1923816.61</v>
      </c>
      <c r="Q19" s="327">
        <v>782623.2855767163</v>
      </c>
      <c r="R19" s="327">
        <f t="shared" si="9"/>
        <v>4825831.4192130361</v>
      </c>
      <c r="T19" s="393"/>
      <c r="U19" s="394"/>
    </row>
    <row r="20" spans="1:21" x14ac:dyDescent="0.25">
      <c r="A20" s="37" t="s">
        <v>83</v>
      </c>
      <c r="B20" s="1">
        <f>+B19</f>
        <v>2026</v>
      </c>
      <c r="C20" s="395">
        <v>10747261.945191659</v>
      </c>
      <c r="D20" s="327">
        <f t="shared" si="4"/>
        <v>265074245.13154998</v>
      </c>
      <c r="E20" s="327">
        <v>89408438.200000003</v>
      </c>
      <c r="F20" s="327">
        <f t="shared" si="0"/>
        <v>354482683.33155</v>
      </c>
      <c r="G20" s="308" cm="1">
        <f t="array" ref="G20">SUM($C$16:C20/120)+'Monthly Revenue Req.(EE&amp;C2_p2)'!G75</f>
        <v>2208952.0398462499</v>
      </c>
      <c r="H20" s="390">
        <f t="shared" si="5"/>
        <v>22403134.057278052</v>
      </c>
      <c r="I20" s="396">
        <f t="shared" si="10"/>
        <v>332079549.27427197</v>
      </c>
      <c r="J20" s="307">
        <f t="shared" si="6"/>
        <v>91617390.239846259</v>
      </c>
      <c r="K20" s="308">
        <f t="shared" si="11"/>
        <v>407725325.05727804</v>
      </c>
      <c r="L20" s="327">
        <f t="shared" si="1"/>
        <v>100155700.14519167</v>
      </c>
      <c r="M20" s="327">
        <f t="shared" si="2"/>
        <v>2400118.9143925947</v>
      </c>
      <c r="N20" s="327">
        <f t="shared" si="3"/>
        <v>68214849.322660834</v>
      </c>
      <c r="O20" s="396">
        <f t="shared" si="7"/>
        <v>263864699.95161113</v>
      </c>
      <c r="P20" s="395">
        <f t="shared" si="8"/>
        <v>2007570.59</v>
      </c>
      <c r="Q20" s="327">
        <v>782623.2855767163</v>
      </c>
      <c r="R20" s="327">
        <f t="shared" si="9"/>
        <v>4999145.9154229658</v>
      </c>
      <c r="T20" s="393"/>
      <c r="U20" s="394"/>
    </row>
    <row r="21" spans="1:21" x14ac:dyDescent="0.25">
      <c r="A21" s="37" t="s">
        <v>84</v>
      </c>
      <c r="B21" s="1">
        <f>+B20</f>
        <v>2026</v>
      </c>
      <c r="C21" s="395">
        <v>10749677.957974467</v>
      </c>
      <c r="D21" s="327">
        <f t="shared" si="4"/>
        <v>275823923.08952445</v>
      </c>
      <c r="E21" s="327">
        <v>93198438.200000003</v>
      </c>
      <c r="F21" s="327">
        <f t="shared" si="0"/>
        <v>369022361.28952444</v>
      </c>
      <c r="G21" s="308" cm="1">
        <f t="array" ref="G21">SUM($C$16:C21/120)+'Monthly Revenue Req.(EE&amp;C2_p2)'!G75</f>
        <v>2298532.6894960371</v>
      </c>
      <c r="H21" s="390">
        <f t="shared" si="5"/>
        <v>24701666.746774089</v>
      </c>
      <c r="I21" s="396">
        <f t="shared" si="10"/>
        <v>344320694.54275036</v>
      </c>
      <c r="J21" s="307">
        <f t="shared" si="6"/>
        <v>95496970.889496043</v>
      </c>
      <c r="K21" s="308">
        <f t="shared" si="11"/>
        <v>503222295.94677407</v>
      </c>
      <c r="L21" s="327">
        <f t="shared" si="1"/>
        <v>103948116.15797447</v>
      </c>
      <c r="M21" s="327">
        <f t="shared" si="2"/>
        <v>2375616.934969285</v>
      </c>
      <c r="N21" s="327">
        <f t="shared" si="3"/>
        <v>70590466.257630125</v>
      </c>
      <c r="O21" s="396">
        <f t="shared" si="7"/>
        <v>273730228.28512025</v>
      </c>
      <c r="P21" s="395">
        <f t="shared" si="8"/>
        <v>2082630.82</v>
      </c>
      <c r="Q21" s="327">
        <v>763623.2855767163</v>
      </c>
      <c r="R21" s="327">
        <f t="shared" si="9"/>
        <v>5144786.795072753</v>
      </c>
      <c r="T21" s="393"/>
      <c r="U21" s="394"/>
    </row>
    <row r="22" spans="1:21" x14ac:dyDescent="0.25">
      <c r="A22" s="37" t="s">
        <v>73</v>
      </c>
      <c r="B22" s="1">
        <f>+B21+1</f>
        <v>2027</v>
      </c>
      <c r="C22" s="395">
        <v>19158664.471666664</v>
      </c>
      <c r="D22" s="327">
        <f t="shared" si="4"/>
        <v>294982587.56119108</v>
      </c>
      <c r="E22" s="327">
        <v>97428438.200000003</v>
      </c>
      <c r="F22" s="327">
        <f t="shared" si="0"/>
        <v>392411025.76119107</v>
      </c>
      <c r="G22" s="308" cm="1">
        <f t="array" ref="G22">SUM($C$16:C22/120)+'Monthly Revenue Req.(EE&amp;C2_p2)'!G75</f>
        <v>2458188.226759926</v>
      </c>
      <c r="H22" s="390">
        <f t="shared" si="5"/>
        <v>27159854.973534014</v>
      </c>
      <c r="I22" s="396">
        <f t="shared" si="10"/>
        <v>365251170.78765708</v>
      </c>
      <c r="J22" s="307">
        <f t="shared" si="6"/>
        <v>99886626.426759928</v>
      </c>
      <c r="K22" s="308">
        <f t="shared" si="11"/>
        <v>603108922.37353396</v>
      </c>
      <c r="L22" s="327">
        <f t="shared" si="1"/>
        <v>116587102.67166667</v>
      </c>
      <c r="M22" s="327">
        <f t="shared" si="2"/>
        <v>4694503.8724432848</v>
      </c>
      <c r="N22" s="327">
        <f t="shared" si="3"/>
        <v>75284970.130073413</v>
      </c>
      <c r="O22" s="396">
        <f t="shared" si="7"/>
        <v>289966200.65758365</v>
      </c>
      <c r="P22" s="395">
        <f t="shared" si="8"/>
        <v>2206159.5099999998</v>
      </c>
      <c r="Q22" s="327">
        <v>1437134.2467677626</v>
      </c>
      <c r="R22" s="327">
        <f t="shared" si="9"/>
        <v>6101481.9835276883</v>
      </c>
      <c r="T22" s="393"/>
      <c r="U22" s="394"/>
    </row>
    <row r="23" spans="1:21" x14ac:dyDescent="0.25">
      <c r="A23" s="37" t="s">
        <v>74</v>
      </c>
      <c r="B23" s="1">
        <f>+B22</f>
        <v>2027</v>
      </c>
      <c r="C23" s="395">
        <v>19158664.471666664</v>
      </c>
      <c r="D23" s="327">
        <f t="shared" si="4"/>
        <v>314141252.03285778</v>
      </c>
      <c r="E23" s="327">
        <v>102118438.2</v>
      </c>
      <c r="F23" s="327">
        <f t="shared" si="0"/>
        <v>416259690.23285776</v>
      </c>
      <c r="G23" s="308" cm="1">
        <f t="array" ref="G23">SUM($C$16:C23/120)+'Monthly Revenue Req.(EE&amp;C2_p2)'!G75</f>
        <v>2617843.7640238148</v>
      </c>
      <c r="H23" s="390">
        <f t="shared" si="5"/>
        <v>29777698.737557828</v>
      </c>
      <c r="I23" s="396">
        <f t="shared" si="10"/>
        <v>386481991.49529994</v>
      </c>
      <c r="J23" s="307">
        <f t="shared" si="6"/>
        <v>104736281.96402381</v>
      </c>
      <c r="K23" s="308">
        <f t="shared" si="11"/>
        <v>707845204.33755779</v>
      </c>
      <c r="L23" s="327">
        <f t="shared" si="1"/>
        <v>121277102.67166667</v>
      </c>
      <c r="M23" s="327">
        <f t="shared" si="2"/>
        <v>4649624.7009184062</v>
      </c>
      <c r="N23" s="327">
        <f t="shared" si="3"/>
        <v>79934594.83099182</v>
      </c>
      <c r="O23" s="396">
        <f t="shared" si="7"/>
        <v>306547396.66430813</v>
      </c>
      <c r="P23" s="395">
        <f t="shared" si="8"/>
        <v>2332314.7799999998</v>
      </c>
      <c r="Q23" s="327">
        <v>1437134.2467677626</v>
      </c>
      <c r="R23" s="327">
        <f t="shared" si="9"/>
        <v>6387292.7907915767</v>
      </c>
      <c r="T23" s="393"/>
      <c r="U23" s="394"/>
    </row>
    <row r="24" spans="1:21" x14ac:dyDescent="0.25">
      <c r="A24" s="37" t="s">
        <v>75</v>
      </c>
      <c r="B24" s="1">
        <f>+B23</f>
        <v>2027</v>
      </c>
      <c r="C24" s="395">
        <v>19158664.471666664</v>
      </c>
      <c r="D24" s="327">
        <f t="shared" si="4"/>
        <v>333299916.50452447</v>
      </c>
      <c r="E24" s="327">
        <v>110238438.2</v>
      </c>
      <c r="F24" s="327">
        <f t="shared" si="0"/>
        <v>443538354.70452446</v>
      </c>
      <c r="G24" s="308" cm="1">
        <f t="array" ref="G24">SUM($C$16:C24/120)+'Monthly Revenue Req.(EE&amp;C2_p2)'!G75</f>
        <v>2777499.3012877037</v>
      </c>
      <c r="H24" s="390">
        <f t="shared" si="5"/>
        <v>32555198.038845532</v>
      </c>
      <c r="I24" s="396">
        <f t="shared" si="10"/>
        <v>410983156.66567892</v>
      </c>
      <c r="J24" s="307">
        <f t="shared" si="6"/>
        <v>113015937.50128771</v>
      </c>
      <c r="K24" s="308">
        <f t="shared" si="11"/>
        <v>820861141.83884549</v>
      </c>
      <c r="L24" s="327">
        <f t="shared" ref="L24:L27" si="12">+C24+E24</f>
        <v>129397102.67166667</v>
      </c>
      <c r="M24" s="327">
        <f t="shared" si="2"/>
        <v>4604745.5293935239</v>
      </c>
      <c r="N24" s="327">
        <f t="shared" si="3"/>
        <v>84539340.360385343</v>
      </c>
      <c r="O24" s="396">
        <f t="shared" si="7"/>
        <v>326443816.30529356</v>
      </c>
      <c r="P24" s="395">
        <f t="shared" si="8"/>
        <v>2483693.37</v>
      </c>
      <c r="Q24" s="327">
        <v>1437134.2467677626</v>
      </c>
      <c r="R24" s="327">
        <f t="shared" si="9"/>
        <v>6698326.9180554673</v>
      </c>
      <c r="T24" s="393"/>
      <c r="U24" s="394"/>
    </row>
    <row r="25" spans="1:21" x14ac:dyDescent="0.25">
      <c r="A25" s="37" t="s">
        <v>76</v>
      </c>
      <c r="B25" s="1">
        <f>+B24</f>
        <v>2027</v>
      </c>
      <c r="C25" s="395">
        <v>19158664.471666664</v>
      </c>
      <c r="D25" s="327">
        <f t="shared" si="4"/>
        <v>352458580.97619116</v>
      </c>
      <c r="E25" s="327">
        <v>113758438.2</v>
      </c>
      <c r="F25" s="327">
        <f t="shared" si="0"/>
        <v>466217019.17619115</v>
      </c>
      <c r="G25" s="308" cm="1">
        <f t="array" ref="G25">SUM($C$16:C25/120)+'Monthly Revenue Req.(EE&amp;C2_p2)'!G75</f>
        <v>2937154.8385515925</v>
      </c>
      <c r="H25" s="390">
        <f t="shared" si="5"/>
        <v>35492352.877397127</v>
      </c>
      <c r="I25" s="396">
        <f t="shared" si="10"/>
        <v>430724666.29879403</v>
      </c>
      <c r="J25" s="307">
        <f t="shared" si="6"/>
        <v>116695593.0385516</v>
      </c>
      <c r="K25" s="308">
        <f t="shared" si="11"/>
        <v>937556734.87739706</v>
      </c>
      <c r="L25" s="327">
        <f t="shared" si="12"/>
        <v>132917102.67166667</v>
      </c>
      <c r="M25" s="327">
        <f t="shared" si="2"/>
        <v>4559866.3578686463</v>
      </c>
      <c r="N25" s="327">
        <f t="shared" si="3"/>
        <v>89099206.718253985</v>
      </c>
      <c r="O25" s="396">
        <f t="shared" si="7"/>
        <v>341625459.58054006</v>
      </c>
      <c r="P25" s="395">
        <f t="shared" si="8"/>
        <v>2599200.37</v>
      </c>
      <c r="Q25" s="327">
        <v>1437134.2467677626</v>
      </c>
      <c r="R25" s="327">
        <f t="shared" si="9"/>
        <v>6973489.4553193562</v>
      </c>
      <c r="T25" s="393"/>
      <c r="U25" s="394"/>
    </row>
    <row r="26" spans="1:21" x14ac:dyDescent="0.25">
      <c r="A26" s="37" t="s">
        <v>77</v>
      </c>
      <c r="B26" s="1">
        <f>+B25</f>
        <v>2027</v>
      </c>
      <c r="C26" s="395">
        <v>19158664.471666664</v>
      </c>
      <c r="D26" s="327">
        <f t="shared" si="4"/>
        <v>371617245.44785786</v>
      </c>
      <c r="E26" s="327">
        <v>117208438.2</v>
      </c>
      <c r="F26" s="327">
        <f t="shared" si="0"/>
        <v>488825683.64785784</v>
      </c>
      <c r="G26" s="308" cm="1">
        <f t="array" ref="G26">SUM($C$16:C26/120)+'Monthly Revenue Req.(EE&amp;C2_p2)'!G75</f>
        <v>3096810.3758154814</v>
      </c>
      <c r="H26" s="390">
        <f t="shared" si="5"/>
        <v>38589163.253212608</v>
      </c>
      <c r="I26" s="396">
        <f t="shared" si="10"/>
        <v>450236520.39464521</v>
      </c>
      <c r="J26" s="307">
        <f t="shared" si="6"/>
        <v>120305248.57581548</v>
      </c>
      <c r="K26" s="308">
        <f t="shared" si="11"/>
        <v>1057861983.4532125</v>
      </c>
      <c r="L26" s="327">
        <f t="shared" si="12"/>
        <v>136367102.67166668</v>
      </c>
      <c r="M26" s="327">
        <f t="shared" si="2"/>
        <v>4514987.1863437723</v>
      </c>
      <c r="N26" s="327">
        <f t="shared" si="3"/>
        <v>93614193.904597759</v>
      </c>
      <c r="O26" s="396">
        <f t="shared" si="7"/>
        <v>356622326.49004745</v>
      </c>
      <c r="P26" s="395">
        <f t="shared" si="8"/>
        <v>2713301.53</v>
      </c>
      <c r="Q26" s="327">
        <v>1437134.2467677626</v>
      </c>
      <c r="R26" s="327">
        <f t="shared" si="9"/>
        <v>7247246.1525832433</v>
      </c>
      <c r="T26" s="393"/>
      <c r="U26" s="394"/>
    </row>
    <row r="27" spans="1:21" x14ac:dyDescent="0.25">
      <c r="A27" s="37" t="s">
        <v>78</v>
      </c>
      <c r="B27" s="1">
        <f>+B26</f>
        <v>2027</v>
      </c>
      <c r="C27" s="395">
        <v>19158664.471666664</v>
      </c>
      <c r="D27" s="327">
        <f t="shared" si="4"/>
        <v>390775909.91952455</v>
      </c>
      <c r="E27" s="327">
        <v>123578438.2</v>
      </c>
      <c r="F27" s="327">
        <f t="shared" si="0"/>
        <v>514354348.11952454</v>
      </c>
      <c r="G27" s="308" cm="1">
        <f t="array" ref="G27">SUM($C$16:C27/120)+'Monthly Revenue Req.(EE&amp;C2_p2)'!G75</f>
        <v>3256465.9130793703</v>
      </c>
      <c r="H27" s="390">
        <f t="shared" si="5"/>
        <v>41845629.166291982</v>
      </c>
      <c r="I27" s="396">
        <f t="shared" si="10"/>
        <v>472508718.95323253</v>
      </c>
      <c r="J27" s="307">
        <f t="shared" si="6"/>
        <v>126834904.11307937</v>
      </c>
      <c r="K27" s="308">
        <f t="shared" si="11"/>
        <v>1184696887.5662918</v>
      </c>
      <c r="L27" s="327">
        <f t="shared" si="12"/>
        <v>142737102.67166668</v>
      </c>
      <c r="M27" s="327">
        <f t="shared" si="2"/>
        <v>4470108.0148188937</v>
      </c>
      <c r="N27" s="327">
        <f t="shared" si="3"/>
        <v>98084301.919416651</v>
      </c>
      <c r="O27" s="396">
        <f t="shared" si="7"/>
        <v>374424417.03381586</v>
      </c>
      <c r="P27" s="397">
        <f t="shared" si="8"/>
        <v>2848745.77</v>
      </c>
      <c r="Q27" s="398">
        <v>1437134.2467677626</v>
      </c>
      <c r="R27" s="398">
        <f t="shared" si="9"/>
        <v>7542345.9298471324</v>
      </c>
      <c r="T27" s="393"/>
      <c r="U27" s="394"/>
    </row>
    <row r="28" spans="1:21" ht="15.75" thickBot="1" x14ac:dyDescent="0.3">
      <c r="A28" s="1" t="s">
        <v>15</v>
      </c>
      <c r="B28" s="1"/>
      <c r="C28" s="313">
        <f>SUM(C16:C27)</f>
        <v>179568109.56952444</v>
      </c>
      <c r="D28" s="8"/>
      <c r="E28" s="144">
        <f>SUM(E16:E27)</f>
        <v>1142851258.4000001</v>
      </c>
      <c r="F28" s="8"/>
      <c r="G28" s="144">
        <f>SUM(G16:G27)</f>
        <v>29589491.286291976</v>
      </c>
      <c r="H28" s="8"/>
      <c r="I28" s="326"/>
      <c r="J28" s="144">
        <f>SUM(J16:J27)</f>
        <v>1172440749.6862919</v>
      </c>
      <c r="K28" s="8"/>
      <c r="L28" s="163"/>
      <c r="M28" s="144">
        <f>SUM(M16:M27)</f>
        <v>42158989.599416651</v>
      </c>
      <c r="N28" s="8"/>
      <c r="O28" s="399"/>
      <c r="P28" s="400">
        <f>SUM(P16:P27)</f>
        <v>26360973.960000001</v>
      </c>
      <c r="Q28" s="400">
        <f>SUM(Q16:Q27)</f>
        <v>13477623.321855234</v>
      </c>
      <c r="R28" s="400">
        <f>SUM(R16:R27)</f>
        <v>69428088.568147212</v>
      </c>
      <c r="S28" s="401"/>
      <c r="T28" s="325"/>
      <c r="U28" s="228"/>
    </row>
    <row r="29" spans="1:21" ht="16.5" thickTop="1" x14ac:dyDescent="0.25">
      <c r="A29" s="26"/>
      <c r="B29" s="26"/>
      <c r="C29" s="28"/>
      <c r="D29" s="61"/>
      <c r="E29" s="28"/>
      <c r="F29" s="28"/>
      <c r="G29" s="45"/>
      <c r="H29" s="45"/>
      <c r="I29" s="28"/>
      <c r="J29" s="45"/>
      <c r="K29" s="28"/>
      <c r="L29" s="45"/>
      <c r="M29" s="28"/>
      <c r="N29" s="45"/>
      <c r="O29" s="45"/>
      <c r="P29" s="28"/>
      <c r="Q29" s="28"/>
      <c r="R29" s="28"/>
      <c r="S29" s="1"/>
      <c r="T29"/>
      <c r="U29" s="14"/>
    </row>
    <row r="30" spans="1:21" x14ac:dyDescent="0.25">
      <c r="S30" s="1"/>
      <c r="T30"/>
    </row>
    <row r="31" spans="1:21" x14ac:dyDescent="0.25">
      <c r="E31" s="14"/>
      <c r="F31" s="14"/>
      <c r="S31" s="1"/>
      <c r="T31"/>
    </row>
    <row r="32" spans="1:21" x14ac:dyDescent="0.25">
      <c r="G32" s="14"/>
      <c r="Q32" s="8"/>
    </row>
    <row r="33" spans="4:17" x14ac:dyDescent="0.25">
      <c r="D33" s="15"/>
      <c r="E33" s="15"/>
      <c r="G33" s="14"/>
      <c r="Q33" s="389"/>
    </row>
    <row r="34" spans="4:17" x14ac:dyDescent="0.25">
      <c r="D34" s="15"/>
      <c r="E34" s="15"/>
      <c r="Q34" s="389"/>
    </row>
    <row r="35" spans="4:17" x14ac:dyDescent="0.25">
      <c r="D35" s="15"/>
      <c r="E35" s="15"/>
      <c r="G35" s="228"/>
      <c r="Q35" s="8"/>
    </row>
    <row r="36" spans="4:17" x14ac:dyDescent="0.25">
      <c r="D36" s="15"/>
      <c r="E36" s="15"/>
      <c r="G36" s="15"/>
      <c r="H36" s="14"/>
      <c r="I36" s="15"/>
    </row>
    <row r="37" spans="4:17" x14ac:dyDescent="0.25">
      <c r="D37" s="15"/>
      <c r="E37" s="15"/>
    </row>
    <row r="38" spans="4:17" x14ac:dyDescent="0.25">
      <c r="D38" s="15"/>
      <c r="E38" s="15"/>
    </row>
    <row r="39" spans="4:17" x14ac:dyDescent="0.25">
      <c r="D39" s="15"/>
      <c r="E39" s="15"/>
    </row>
    <row r="40" spans="4:17" x14ac:dyDescent="0.25">
      <c r="D40" s="15"/>
      <c r="E40" s="15"/>
    </row>
    <row r="41" spans="4:17" x14ac:dyDescent="0.25">
      <c r="D41" s="15"/>
      <c r="E41" s="15"/>
    </row>
    <row r="42" spans="4:17" x14ac:dyDescent="0.25">
      <c r="D42" s="15"/>
      <c r="E42" s="15"/>
    </row>
    <row r="43" spans="4:17" x14ac:dyDescent="0.25">
      <c r="D43" s="15"/>
      <c r="E43" s="15"/>
    </row>
    <row r="44" spans="4:17" x14ac:dyDescent="0.25">
      <c r="D44" s="15"/>
      <c r="E44" s="15"/>
    </row>
  </sheetData>
  <printOptions horizontalCentered="1"/>
  <pageMargins left="0.1" right="0.1" top="0.5" bottom="0.25" header="0.3" footer="0.3"/>
  <pageSetup scale="59" orientation="landscape" r:id="rId1"/>
  <ignoredErrors>
    <ignoredError sqref="G22:G2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FE67-6822-43C4-84C8-4D4D4239D76B}">
  <sheetPr>
    <tabColor rgb="FFFFFF00"/>
    <pageSetUpPr fitToPage="1"/>
  </sheetPr>
  <dimension ref="A1:P43"/>
  <sheetViews>
    <sheetView view="pageBreakPreview" zoomScale="96" zoomScaleNormal="100" zoomScaleSheetLayoutView="96" workbookViewId="0">
      <selection activeCell="C30" sqref="C30"/>
    </sheetView>
  </sheetViews>
  <sheetFormatPr defaultRowHeight="15" x14ac:dyDescent="0.25"/>
  <cols>
    <col min="1" max="1" width="5" bestFit="1" customWidth="1"/>
    <col min="2" max="2" width="68.140625" customWidth="1"/>
    <col min="3" max="3" width="20.42578125" bestFit="1" customWidth="1"/>
  </cols>
  <sheetData>
    <row r="1" spans="1:3" ht="18.75" x14ac:dyDescent="0.3">
      <c r="C1" s="146" t="str">
        <f>+'Projected Rev.Req (EE&amp;C2_p4)'!R1</f>
        <v>Attachment EE&amp;C2-1</v>
      </c>
    </row>
    <row r="2" spans="1:3" ht="18.75" x14ac:dyDescent="0.3">
      <c r="C2" s="146" t="s">
        <v>322</v>
      </c>
    </row>
    <row r="4" spans="1:3" ht="18.75" x14ac:dyDescent="0.25">
      <c r="A4" s="167" t="s">
        <v>0</v>
      </c>
      <c r="B4" s="410"/>
      <c r="C4" s="410"/>
    </row>
    <row r="5" spans="1:3" ht="18.75" x14ac:dyDescent="0.25">
      <c r="A5" s="168" t="str">
        <f>+'Revs by Rate Class (EE&amp;C2_p1)'!B5</f>
        <v xml:space="preserve">Energy Efficiency &amp; Conservation Triennium 2 Program ("EE&amp;C2")  </v>
      </c>
      <c r="B5" s="410"/>
      <c r="C5" s="410"/>
    </row>
    <row r="6" spans="1:3" ht="18.75" x14ac:dyDescent="0.25">
      <c r="A6" s="168" t="s">
        <v>735</v>
      </c>
      <c r="B6" s="410"/>
      <c r="C6" s="410"/>
    </row>
    <row r="7" spans="1:3" ht="18.75" x14ac:dyDescent="0.25">
      <c r="A7" s="168" t="s">
        <v>747</v>
      </c>
      <c r="B7" s="410"/>
      <c r="C7" s="410"/>
    </row>
    <row r="8" spans="1:3" ht="18.75" x14ac:dyDescent="0.25">
      <c r="A8" s="168" t="str">
        <f>"Proposed EE&amp;C-2 Rate "&amp;IF(C26&gt;0,"Increase","(Decrease)")</f>
        <v>Proposed EE&amp;C-2 Rate Increase</v>
      </c>
      <c r="B8" s="410"/>
      <c r="C8" s="410"/>
    </row>
    <row r="9" spans="1:3" ht="18.75" x14ac:dyDescent="0.25">
      <c r="A9" s="168" t="s">
        <v>746</v>
      </c>
      <c r="B9" s="410"/>
      <c r="C9" s="410"/>
    </row>
    <row r="11" spans="1:3" ht="15.75" x14ac:dyDescent="0.25">
      <c r="A11" s="44"/>
      <c r="B11" s="44"/>
      <c r="C11" s="411" t="s">
        <v>728</v>
      </c>
    </row>
    <row r="12" spans="1:3" ht="15.75" x14ac:dyDescent="0.25">
      <c r="A12" s="24" t="s">
        <v>316</v>
      </c>
      <c r="B12" s="44"/>
      <c r="C12" s="412" t="s">
        <v>357</v>
      </c>
    </row>
    <row r="13" spans="1:3" ht="15.75" x14ac:dyDescent="0.25">
      <c r="A13" s="25" t="s">
        <v>315</v>
      </c>
      <c r="B13" s="413" t="s">
        <v>736</v>
      </c>
      <c r="C13" s="412" t="s">
        <v>745</v>
      </c>
    </row>
    <row r="14" spans="1:3" ht="15.75" x14ac:dyDescent="0.25">
      <c r="A14" s="46">
        <v>1</v>
      </c>
      <c r="B14" s="44" t="s">
        <v>69</v>
      </c>
      <c r="C14" s="132">
        <f>+'Projected Rev.Req (EE&amp;C2_p4)'!G28</f>
        <v>29589491.286291976</v>
      </c>
    </row>
    <row r="15" spans="1:3" ht="15.75" x14ac:dyDescent="0.25">
      <c r="A15" s="46">
        <f>A14+1</f>
        <v>2</v>
      </c>
      <c r="B15" s="44" t="s">
        <v>70</v>
      </c>
      <c r="C15" s="133">
        <f>+'Projected Rev.Req (EE&amp;C2_p4)'!P28</f>
        <v>26360973.960000001</v>
      </c>
    </row>
    <row r="16" spans="1:3" ht="15.75" x14ac:dyDescent="0.25">
      <c r="A16" s="46">
        <f>A15+1</f>
        <v>3</v>
      </c>
      <c r="B16" s="44" t="s">
        <v>71</v>
      </c>
      <c r="C16" s="133">
        <f>+'Projected Rev.Req (EE&amp;C2_p4)'!Q28</f>
        <v>13477623.321855234</v>
      </c>
    </row>
    <row r="17" spans="1:16" ht="15.75" x14ac:dyDescent="0.25">
      <c r="A17" s="46">
        <f>A16+1</f>
        <v>4</v>
      </c>
      <c r="B17" s="139" t="s">
        <v>751</v>
      </c>
      <c r="C17" s="414">
        <f>SUM(C14:C16)</f>
        <v>69428088.568147212</v>
      </c>
    </row>
    <row r="18" spans="1:16" ht="31.5" x14ac:dyDescent="0.25">
      <c r="A18" s="130">
        <f>A17+1</f>
        <v>5</v>
      </c>
      <c r="B18" s="415" t="s">
        <v>762</v>
      </c>
      <c r="C18" s="132">
        <f>-'Reconciliation (EE&amp;C2_p3)'!O76</f>
        <v>2257759.2399999984</v>
      </c>
    </row>
    <row r="19" spans="1:16" ht="16.5" thickBot="1" x14ac:dyDescent="0.3">
      <c r="A19" s="46">
        <f>A18+1</f>
        <v>6</v>
      </c>
      <c r="B19" s="139" t="s">
        <v>750</v>
      </c>
      <c r="C19" s="416">
        <f>+C17+C18</f>
        <v>71685847.808147207</v>
      </c>
    </row>
    <row r="20" spans="1:16" ht="16.5" thickTop="1" x14ac:dyDescent="0.25">
      <c r="A20" s="46"/>
      <c r="B20" s="139"/>
      <c r="C20" s="132"/>
    </row>
    <row r="21" spans="1:16" ht="15.75" x14ac:dyDescent="0.25">
      <c r="A21" s="46"/>
      <c r="B21" s="413" t="str">
        <f>"Calculation of Proposed "&amp;IF(C26&gt;0,"Increase","(Decrease)")&amp;" in Rider EE&amp;C2"</f>
        <v>Calculation of Proposed Increase in Rider EE&amp;C2</v>
      </c>
      <c r="C21" s="132"/>
    </row>
    <row r="22" spans="1:16" ht="15.75" x14ac:dyDescent="0.25">
      <c r="A22" s="46">
        <f>+A19+1</f>
        <v>7</v>
      </c>
      <c r="B22" s="44" t="str">
        <f>+B19</f>
        <v>Total Net Revenue Requirement - 7/1/26 - 6/30/27</v>
      </c>
      <c r="C22" s="132">
        <f>+C19</f>
        <v>71685847.808147207</v>
      </c>
      <c r="P22" s="1"/>
    </row>
    <row r="23" spans="1:16" ht="15.75" x14ac:dyDescent="0.25">
      <c r="A23" s="46">
        <f>+A22+1</f>
        <v>8</v>
      </c>
      <c r="B23" s="44" t="s">
        <v>752</v>
      </c>
      <c r="C23" s="133">
        <f>+'kWh Forecast'!E33/1000</f>
        <v>19594100.020524386</v>
      </c>
    </row>
    <row r="24" spans="1:16" ht="31.5" x14ac:dyDescent="0.25">
      <c r="A24" s="130">
        <f>A23+1</f>
        <v>9</v>
      </c>
      <c r="B24" s="417" t="s">
        <v>763</v>
      </c>
      <c r="C24" s="418">
        <f>ROUND(C22/C23/1000,6)</f>
        <v>3.6589999999999999E-3</v>
      </c>
    </row>
    <row r="25" spans="1:16" ht="15.75" x14ac:dyDescent="0.25">
      <c r="A25" s="46">
        <f>A24+1</f>
        <v>10</v>
      </c>
      <c r="B25" s="139" t="s">
        <v>737</v>
      </c>
      <c r="C25" s="419">
        <v>1.2800000000000001E-3</v>
      </c>
    </row>
    <row r="26" spans="1:16" ht="32.25" thickBot="1" x14ac:dyDescent="0.3">
      <c r="A26" s="130">
        <f>A25+1</f>
        <v>11</v>
      </c>
      <c r="B26" s="417" t="s">
        <v>758</v>
      </c>
      <c r="C26" s="420">
        <f>+C24-C25</f>
        <v>2.379E-3</v>
      </c>
    </row>
    <row r="27" spans="1:16" ht="16.5" thickTop="1" x14ac:dyDescent="0.25">
      <c r="A27" s="46"/>
      <c r="B27" s="44"/>
      <c r="C27" s="421"/>
    </row>
    <row r="28" spans="1:16" ht="16.5" thickBot="1" x14ac:dyDescent="0.3">
      <c r="A28" s="46">
        <f>+A26+1</f>
        <v>12</v>
      </c>
      <c r="B28" s="4" t="s">
        <v>738</v>
      </c>
      <c r="C28" s="422">
        <f>ROUND(C23*C26*1000,)</f>
        <v>46614364</v>
      </c>
    </row>
    <row r="29" spans="1:16" ht="17.25" thickTop="1" x14ac:dyDescent="0.3">
      <c r="C29" s="423"/>
    </row>
    <row r="30" spans="1:16" x14ac:dyDescent="0.25">
      <c r="C30" s="15">
        <f>+C23*C25*1000</f>
        <v>25080448.026271217</v>
      </c>
    </row>
    <row r="31" spans="1:16" ht="15.75" x14ac:dyDescent="0.25">
      <c r="B31" s="424" t="s">
        <v>757</v>
      </c>
      <c r="C31" s="425"/>
    </row>
    <row r="32" spans="1:16" ht="16.5" thickBot="1" x14ac:dyDescent="0.3">
      <c r="A32" s="46">
        <f>+A28+1</f>
        <v>13</v>
      </c>
      <c r="B32" s="426" t="s">
        <v>313</v>
      </c>
      <c r="C32" s="420">
        <f>+C24</f>
        <v>3.6589999999999999E-3</v>
      </c>
    </row>
    <row r="33" spans="1:3" ht="17.25" thickTop="1" thickBot="1" x14ac:dyDescent="0.3">
      <c r="A33" s="46"/>
      <c r="B33" s="426"/>
      <c r="C33" s="427"/>
    </row>
    <row r="34" spans="1:3" ht="17.25" thickTop="1" thickBot="1" x14ac:dyDescent="0.3">
      <c r="A34" s="46">
        <f>+A32+1</f>
        <v>14</v>
      </c>
      <c r="B34" s="426" t="s">
        <v>314</v>
      </c>
      <c r="C34" s="420">
        <f>ROUND(C24*(1+0.06625),6)</f>
        <v>3.901E-3</v>
      </c>
    </row>
    <row r="35" spans="1:3" ht="16.5" thickTop="1" x14ac:dyDescent="0.25">
      <c r="A35" s="46"/>
      <c r="B35" s="426"/>
      <c r="C35" s="346"/>
    </row>
    <row r="36" spans="1:3" ht="16.5" thickBot="1" x14ac:dyDescent="0.3">
      <c r="A36" s="46">
        <f>+A34+1</f>
        <v>15</v>
      </c>
      <c r="B36" s="426" t="s">
        <v>739</v>
      </c>
      <c r="C36" s="428">
        <f>ROUND(C23*C32*1000,0)</f>
        <v>71694812</v>
      </c>
    </row>
    <row r="37" spans="1:3" ht="15.75" thickTop="1" x14ac:dyDescent="0.25"/>
    <row r="39" spans="1:3" x14ac:dyDescent="0.25">
      <c r="B39" t="s">
        <v>753</v>
      </c>
      <c r="C39" s="8">
        <f>C23*C25*1000</f>
        <v>25080448.026271217</v>
      </c>
    </row>
    <row r="40" spans="1:3" x14ac:dyDescent="0.25">
      <c r="B40" t="s">
        <v>754</v>
      </c>
      <c r="C40" s="100">
        <f>C23*1000*C24</f>
        <v>71694811.975098729</v>
      </c>
    </row>
    <row r="41" spans="1:3" x14ac:dyDescent="0.25">
      <c r="B41" t="s">
        <v>755</v>
      </c>
      <c r="C41" s="13">
        <f>C40-C39</f>
        <v>46614363.948827513</v>
      </c>
    </row>
    <row r="42" spans="1:3" x14ac:dyDescent="0.25">
      <c r="B42" t="s">
        <v>756</v>
      </c>
      <c r="C42" s="100">
        <v>29028489</v>
      </c>
    </row>
    <row r="43" spans="1:3" x14ac:dyDescent="0.25">
      <c r="B43" t="s">
        <v>759</v>
      </c>
      <c r="C43" s="13">
        <f>C41-C42</f>
        <v>17585874.948827513</v>
      </c>
    </row>
  </sheetData>
  <printOptions horizontalCentered="1"/>
  <pageMargins left="0.25" right="0.25" top="0.75" bottom="0.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56F81-B83A-4428-93E2-C630AF121C79}">
  <sheetPr>
    <pageSetUpPr fitToPage="1"/>
  </sheetPr>
  <dimension ref="A1:U34"/>
  <sheetViews>
    <sheetView view="pageBreakPreview" zoomScaleNormal="100" zoomScaleSheetLayoutView="100" workbookViewId="0"/>
  </sheetViews>
  <sheetFormatPr defaultRowHeight="15" x14ac:dyDescent="0.25"/>
  <cols>
    <col min="1" max="1" width="68.7109375" bestFit="1" customWidth="1"/>
    <col min="2" max="7" width="4.85546875" hidden="1" customWidth="1"/>
    <col min="8" max="20" width="13.5703125" bestFit="1" customWidth="1"/>
    <col min="21" max="21" width="14.7109375" bestFit="1" customWidth="1"/>
  </cols>
  <sheetData>
    <row r="1" spans="1:21" ht="18.75" x14ac:dyDescent="0.3">
      <c r="U1" s="146" t="str">
        <f>+'Revs by Rate Class (EE&amp;C2_p1)'!I1</f>
        <v>Attachment EE&amp;C2-1</v>
      </c>
    </row>
    <row r="2" spans="1:21" ht="18.75" x14ac:dyDescent="0.3">
      <c r="U2" s="146" t="s">
        <v>321</v>
      </c>
    </row>
    <row r="4" spans="1:21" ht="18.75" x14ac:dyDescent="0.3">
      <c r="A4" s="447" t="s">
        <v>0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21" ht="18.75" x14ac:dyDescent="0.3">
      <c r="A5" s="448" t="str">
        <f>+'Revs by Rate Class (EE&amp;C2_p1)'!B5</f>
        <v xml:space="preserve">Energy Efficiency &amp; Conservation Triennium 2 Program ("EE&amp;C2")  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21" ht="18.75" x14ac:dyDescent="0.3">
      <c r="A6" s="448" t="s">
        <v>72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</row>
    <row r="7" spans="1:21" ht="16.5" thickBot="1" x14ac:dyDescent="0.3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</row>
    <row r="8" spans="1:21" s="475" customFormat="1" ht="16.5" thickBot="1" x14ac:dyDescent="0.3">
      <c r="A8" s="469"/>
      <c r="B8" s="470"/>
      <c r="C8" s="471"/>
      <c r="D8" s="471"/>
      <c r="E8" s="471"/>
      <c r="F8" s="471"/>
      <c r="G8" s="471"/>
      <c r="H8" s="472">
        <v>2025</v>
      </c>
      <c r="I8" s="473"/>
      <c r="J8" s="473"/>
      <c r="K8" s="473"/>
      <c r="L8" s="473"/>
      <c r="M8" s="473"/>
      <c r="N8" s="474"/>
      <c r="O8" s="472">
        <v>2026</v>
      </c>
      <c r="P8" s="473"/>
      <c r="Q8" s="473"/>
      <c r="R8" s="473"/>
      <c r="S8" s="473"/>
      <c r="T8" s="473"/>
      <c r="U8" s="474"/>
    </row>
    <row r="9" spans="1:21" s="475" customFormat="1" ht="16.5" thickBot="1" x14ac:dyDescent="0.3">
      <c r="A9" s="469"/>
      <c r="B9" s="476" t="s">
        <v>73</v>
      </c>
      <c r="C9" s="477" t="s">
        <v>74</v>
      </c>
      <c r="D9" s="477" t="s">
        <v>75</v>
      </c>
      <c r="E9" s="477" t="s">
        <v>76</v>
      </c>
      <c r="F9" s="477" t="s">
        <v>77</v>
      </c>
      <c r="G9" s="478" t="s">
        <v>78</v>
      </c>
      <c r="H9" s="476" t="s">
        <v>79</v>
      </c>
      <c r="I9" s="477" t="s">
        <v>80</v>
      </c>
      <c r="J9" s="477" t="s">
        <v>81</v>
      </c>
      <c r="K9" s="477" t="s">
        <v>82</v>
      </c>
      <c r="L9" s="477" t="s">
        <v>83</v>
      </c>
      <c r="M9" s="529" t="s">
        <v>84</v>
      </c>
      <c r="N9" s="479" t="s">
        <v>85</v>
      </c>
      <c r="O9" s="476" t="s">
        <v>73</v>
      </c>
      <c r="P9" s="477" t="s">
        <v>74</v>
      </c>
      <c r="Q9" s="477" t="s">
        <v>86</v>
      </c>
      <c r="R9" s="477" t="s">
        <v>87</v>
      </c>
      <c r="S9" s="477" t="s">
        <v>77</v>
      </c>
      <c r="T9" s="529" t="s">
        <v>88</v>
      </c>
      <c r="U9" s="479" t="s">
        <v>85</v>
      </c>
    </row>
    <row r="10" spans="1:21" s="475" customFormat="1" ht="16.5" thickBot="1" x14ac:dyDescent="0.3">
      <c r="A10" s="480" t="s">
        <v>89</v>
      </c>
      <c r="B10" s="469"/>
      <c r="C10" s="469"/>
      <c r="D10" s="469"/>
      <c r="E10" s="469"/>
      <c r="F10" s="469"/>
      <c r="G10" s="469"/>
      <c r="H10" s="481"/>
      <c r="I10" s="482"/>
      <c r="J10" s="482"/>
      <c r="K10" s="482"/>
      <c r="L10" s="482"/>
      <c r="M10" s="482"/>
      <c r="N10" s="483"/>
      <c r="O10" s="481"/>
      <c r="P10" s="482"/>
      <c r="Q10" s="482"/>
      <c r="R10" s="482"/>
      <c r="S10" s="482"/>
      <c r="T10" s="482"/>
      <c r="U10" s="483"/>
    </row>
    <row r="11" spans="1:21" s="475" customFormat="1" ht="15.75" x14ac:dyDescent="0.25">
      <c r="A11" s="468" t="s">
        <v>740</v>
      </c>
      <c r="B11" s="484">
        <v>0</v>
      </c>
      <c r="C11" s="485">
        <v>0</v>
      </c>
      <c r="D11" s="485">
        <v>0</v>
      </c>
      <c r="E11" s="485">
        <v>0</v>
      </c>
      <c r="F11" s="485">
        <v>0</v>
      </c>
      <c r="G11" s="484">
        <v>0</v>
      </c>
      <c r="H11" s="486">
        <f>-'Reconciliation (EE&amp;C2_p3)'!F44</f>
        <v>-1384614.4699999997</v>
      </c>
      <c r="I11" s="487">
        <f>-'Reconciliation (EE&amp;C2_p3)'!F45</f>
        <v>-607769.72000000067</v>
      </c>
      <c r="J11" s="487">
        <f>-'Reconciliation (EE&amp;C2_p3)'!F46</f>
        <v>508525.43000000017</v>
      </c>
      <c r="K11" s="487">
        <f>-'Reconciliation (EE&amp;C2_p3)'!F47</f>
        <v>1137226.6299999997</v>
      </c>
      <c r="L11" s="487">
        <f>-'Reconciliation (EE&amp;C2_p3)'!F48</f>
        <v>1270714.0799999998</v>
      </c>
      <c r="M11" s="530">
        <f>-'Reconciliation (EE&amp;C2_p3)'!F49</f>
        <v>-963802.41999999993</v>
      </c>
      <c r="N11" s="488">
        <f>SUM(B11:M11)</f>
        <v>-39720.470000000671</v>
      </c>
      <c r="O11" s="486">
        <f>-'Reconciliation (EE&amp;C2_p3)'!F71</f>
        <v>1066799.9999999995</v>
      </c>
      <c r="P11" s="487">
        <f>-'Reconciliation (EE&amp;C2_p3)'!F72</f>
        <v>972974.65999999992</v>
      </c>
      <c r="Q11" s="487">
        <f>-'Reconciliation (EE&amp;C2_p3)'!F73</f>
        <v>1232710.9599999997</v>
      </c>
      <c r="R11" s="487">
        <f>-'Reconciliation (EE&amp;C2_p3)'!F74</f>
        <v>1703575.52</v>
      </c>
      <c r="S11" s="487">
        <f>-'Reconciliation (EE&amp;C2_p3)'!F75</f>
        <v>1758783.06</v>
      </c>
      <c r="T11" s="530">
        <f>-'Reconciliation (EE&amp;C2_p3)'!F76</f>
        <v>3141095.5</v>
      </c>
      <c r="U11" s="488">
        <f>SUM(O11:T11)</f>
        <v>9875939.6999999993</v>
      </c>
    </row>
    <row r="12" spans="1:21" s="475" customFormat="1" ht="16.5" thickBot="1" x14ac:dyDescent="0.3">
      <c r="A12" s="489" t="s">
        <v>769</v>
      </c>
      <c r="B12" s="490">
        <v>0</v>
      </c>
      <c r="C12" s="491">
        <v>0</v>
      </c>
      <c r="D12" s="491">
        <v>0</v>
      </c>
      <c r="E12" s="491">
        <v>0</v>
      </c>
      <c r="F12" s="491">
        <v>0</v>
      </c>
      <c r="G12" s="490">
        <v>0</v>
      </c>
      <c r="H12" s="492">
        <f t="shared" ref="H12:M12" si="0">-H11</f>
        <v>1384614.4699999997</v>
      </c>
      <c r="I12" s="493">
        <f t="shared" si="0"/>
        <v>607769.72000000067</v>
      </c>
      <c r="J12" s="493">
        <f t="shared" si="0"/>
        <v>-508525.43000000017</v>
      </c>
      <c r="K12" s="493">
        <f t="shared" si="0"/>
        <v>-1137226.6299999997</v>
      </c>
      <c r="L12" s="493">
        <f t="shared" si="0"/>
        <v>-1270714.0799999998</v>
      </c>
      <c r="M12" s="491">
        <f t="shared" si="0"/>
        <v>963802.41999999993</v>
      </c>
      <c r="N12" s="494">
        <f>SUM(B12:M12)</f>
        <v>39720.470000000671</v>
      </c>
      <c r="O12" s="492">
        <f t="shared" ref="O12:T12" si="1">-O11</f>
        <v>-1066799.9999999995</v>
      </c>
      <c r="P12" s="493">
        <f t="shared" si="1"/>
        <v>-972974.65999999992</v>
      </c>
      <c r="Q12" s="493">
        <f t="shared" si="1"/>
        <v>-1232710.9599999997</v>
      </c>
      <c r="R12" s="493">
        <f t="shared" si="1"/>
        <v>-1703575.52</v>
      </c>
      <c r="S12" s="493">
        <f t="shared" si="1"/>
        <v>-1758783.06</v>
      </c>
      <c r="T12" s="491">
        <f t="shared" si="1"/>
        <v>-3141095.5</v>
      </c>
      <c r="U12" s="494">
        <f>SUM(O12:T12)</f>
        <v>-9875939.6999999993</v>
      </c>
    </row>
    <row r="13" spans="1:21" s="475" customFormat="1" ht="16.5" thickBot="1" x14ac:dyDescent="0.3">
      <c r="A13" s="495"/>
      <c r="B13" s="496"/>
      <c r="C13" s="496"/>
      <c r="D13" s="496"/>
      <c r="E13" s="496"/>
      <c r="F13" s="496"/>
      <c r="G13" s="496"/>
      <c r="H13" s="481"/>
      <c r="I13" s="482"/>
      <c r="J13" s="482"/>
      <c r="K13" s="482"/>
      <c r="L13" s="482"/>
      <c r="M13" s="482"/>
      <c r="N13" s="483"/>
      <c r="O13" s="481"/>
      <c r="P13" s="482"/>
      <c r="Q13" s="482"/>
      <c r="R13" s="482"/>
      <c r="S13" s="482"/>
      <c r="T13" s="482"/>
      <c r="U13" s="483"/>
    </row>
    <row r="14" spans="1:21" s="475" customFormat="1" ht="16.5" thickBot="1" x14ac:dyDescent="0.3">
      <c r="A14" s="497" t="s">
        <v>90</v>
      </c>
      <c r="B14" s="498"/>
      <c r="C14" s="498"/>
      <c r="D14" s="498"/>
      <c r="E14" s="498"/>
      <c r="F14" s="498"/>
      <c r="G14" s="498"/>
      <c r="H14" s="533"/>
      <c r="I14" s="534"/>
      <c r="J14" s="534"/>
      <c r="K14" s="534"/>
      <c r="L14" s="534"/>
      <c r="M14" s="482"/>
      <c r="N14" s="483"/>
      <c r="O14" s="533"/>
      <c r="P14" s="534"/>
      <c r="Q14" s="534"/>
      <c r="R14" s="534"/>
      <c r="S14" s="534"/>
      <c r="T14" s="482"/>
      <c r="U14" s="483"/>
    </row>
    <row r="15" spans="1:21" s="475" customFormat="1" ht="15.75" x14ac:dyDescent="0.25">
      <c r="A15" s="499" t="s">
        <v>770</v>
      </c>
      <c r="B15" s="500">
        <v>0</v>
      </c>
      <c r="C15" s="500">
        <v>0</v>
      </c>
      <c r="D15" s="500">
        <v>0</v>
      </c>
      <c r="E15" s="500">
        <v>0</v>
      </c>
      <c r="F15" s="500">
        <v>0</v>
      </c>
      <c r="G15" s="500">
        <v>0</v>
      </c>
      <c r="H15" s="486">
        <f>-'Reconciliation (EE&amp;C2_p3)'!N44</f>
        <v>-21077.9</v>
      </c>
      <c r="I15" s="501">
        <f>-'Reconciliation (EE&amp;C2_p3)'!N45</f>
        <v>-23205.08</v>
      </c>
      <c r="J15" s="501">
        <f>-'Reconciliation (EE&amp;C2_p3)'!N46</f>
        <v>-23169.45</v>
      </c>
      <c r="K15" s="501">
        <f>-'Reconciliation (EE&amp;C2_p3)'!N47</f>
        <v>-20525.34</v>
      </c>
      <c r="L15" s="501">
        <f>-'Reconciliation (EE&amp;C2_p3)'!N48</f>
        <v>-17743.27</v>
      </c>
      <c r="M15" s="531">
        <f>-'Reconciliation (EE&amp;C2_p3)'!N49</f>
        <v>-17109.189999999999</v>
      </c>
      <c r="N15" s="502">
        <f>SUM(B15:M15)</f>
        <v>-122830.23000000001</v>
      </c>
      <c r="O15" s="486">
        <f>-'Reconciliation (EE&amp;C2_p3)'!N71</f>
        <v>-17434.23</v>
      </c>
      <c r="P15" s="501">
        <f>-'Reconciliation (EE&amp;C2_p3)'!N72</f>
        <v>-14904.7</v>
      </c>
      <c r="Q15" s="501">
        <f>-'Reconciliation (EE&amp;C2_p3)'!N73</f>
        <v>-12169.43</v>
      </c>
      <c r="R15" s="501">
        <f>-'Reconciliation (EE&amp;C2_p3)'!N74</f>
        <v>-8528.1299999999992</v>
      </c>
      <c r="S15" s="501">
        <f>-'Reconciliation (EE&amp;C2_p3)'!N75</f>
        <v>-4234.45</v>
      </c>
      <c r="T15" s="531">
        <f>-'Reconciliation (EE&amp;C2_p3)'!N76</f>
        <v>1841.9</v>
      </c>
      <c r="U15" s="502">
        <f>SUM(O15:T15)</f>
        <v>-55429.039999999994</v>
      </c>
    </row>
    <row r="16" spans="1:21" s="475" customFormat="1" ht="15.75" x14ac:dyDescent="0.25">
      <c r="A16" s="503" t="s">
        <v>771</v>
      </c>
      <c r="B16" s="500">
        <v>0</v>
      </c>
      <c r="C16" s="500">
        <v>0</v>
      </c>
      <c r="D16" s="500">
        <v>0</v>
      </c>
      <c r="E16" s="500">
        <v>0</v>
      </c>
      <c r="F16" s="500">
        <v>0</v>
      </c>
      <c r="G16" s="500">
        <v>0</v>
      </c>
      <c r="H16" s="504">
        <v>0</v>
      </c>
      <c r="I16" s="501">
        <v>0</v>
      </c>
      <c r="J16" s="501">
        <v>0</v>
      </c>
      <c r="K16" s="501">
        <v>0</v>
      </c>
      <c r="L16" s="501">
        <v>0</v>
      </c>
      <c r="M16" s="531">
        <v>0</v>
      </c>
      <c r="N16" s="502"/>
      <c r="O16" s="504"/>
      <c r="P16" s="501"/>
      <c r="Q16" s="501"/>
      <c r="R16" s="501"/>
      <c r="S16" s="501"/>
      <c r="T16" s="531">
        <f>-T15</f>
        <v>-1841.9</v>
      </c>
      <c r="U16" s="502">
        <f>SUM(O16:T16)</f>
        <v>-1841.9</v>
      </c>
    </row>
    <row r="17" spans="1:21" s="475" customFormat="1" ht="16.5" thickBot="1" x14ac:dyDescent="0.3">
      <c r="A17" s="489" t="s">
        <v>772</v>
      </c>
      <c r="B17" s="505">
        <v>0</v>
      </c>
      <c r="C17" s="505">
        <v>0</v>
      </c>
      <c r="D17" s="505">
        <v>0</v>
      </c>
      <c r="E17" s="505">
        <v>0</v>
      </c>
      <c r="F17" s="505">
        <v>0</v>
      </c>
      <c r="G17" s="505">
        <v>0</v>
      </c>
      <c r="H17" s="506">
        <f t="shared" ref="H17:M17" si="2">-H15</f>
        <v>21077.9</v>
      </c>
      <c r="I17" s="507">
        <f t="shared" si="2"/>
        <v>23205.08</v>
      </c>
      <c r="J17" s="507">
        <f t="shared" si="2"/>
        <v>23169.45</v>
      </c>
      <c r="K17" s="507">
        <f t="shared" si="2"/>
        <v>20525.34</v>
      </c>
      <c r="L17" s="507">
        <f t="shared" si="2"/>
        <v>17743.27</v>
      </c>
      <c r="M17" s="505">
        <f t="shared" si="2"/>
        <v>17109.189999999999</v>
      </c>
      <c r="N17" s="508">
        <f>SUM(B17:M17)</f>
        <v>122830.23000000001</v>
      </c>
      <c r="O17" s="506">
        <f t="shared" ref="O17:S17" si="3">-O15</f>
        <v>17434.23</v>
      </c>
      <c r="P17" s="507">
        <f t="shared" si="3"/>
        <v>14904.7</v>
      </c>
      <c r="Q17" s="507">
        <f t="shared" si="3"/>
        <v>12169.43</v>
      </c>
      <c r="R17" s="507">
        <f t="shared" si="3"/>
        <v>8528.1299999999992</v>
      </c>
      <c r="S17" s="507">
        <f t="shared" si="3"/>
        <v>4234.45</v>
      </c>
      <c r="T17" s="505"/>
      <c r="U17" s="508">
        <f>SUM(O17:T17)</f>
        <v>57270.939999999995</v>
      </c>
    </row>
    <row r="18" spans="1:21" s="475" customFormat="1" ht="16.5" thickBot="1" x14ac:dyDescent="0.3">
      <c r="A18" s="495"/>
      <c r="B18" s="496"/>
      <c r="C18" s="496"/>
      <c r="D18" s="496"/>
      <c r="E18" s="496"/>
      <c r="F18" s="496"/>
      <c r="G18" s="496"/>
      <c r="H18" s="481"/>
      <c r="I18" s="482"/>
      <c r="J18" s="482"/>
      <c r="K18" s="482"/>
      <c r="L18" s="482"/>
      <c r="M18" s="482"/>
      <c r="N18" s="483"/>
      <c r="O18" s="481"/>
      <c r="P18" s="482"/>
      <c r="Q18" s="482"/>
      <c r="R18" s="482"/>
      <c r="S18" s="482"/>
      <c r="T18" s="482"/>
      <c r="U18" s="483"/>
    </row>
    <row r="19" spans="1:21" s="475" customFormat="1" ht="16.5" thickBot="1" x14ac:dyDescent="0.3">
      <c r="A19" s="497" t="s">
        <v>91</v>
      </c>
      <c r="B19" s="498"/>
      <c r="C19" s="498"/>
      <c r="D19" s="498"/>
      <c r="E19" s="498"/>
      <c r="F19" s="498"/>
      <c r="G19" s="498"/>
      <c r="H19" s="533"/>
      <c r="I19" s="534"/>
      <c r="J19" s="534"/>
      <c r="K19" s="534"/>
      <c r="L19" s="534"/>
      <c r="M19" s="482"/>
      <c r="N19" s="483"/>
      <c r="O19" s="533"/>
      <c r="P19" s="534"/>
      <c r="Q19" s="534"/>
      <c r="R19" s="534"/>
      <c r="S19" s="534"/>
      <c r="T19" s="482"/>
      <c r="U19" s="483"/>
    </row>
    <row r="20" spans="1:21" s="475" customFormat="1" ht="15.75" x14ac:dyDescent="0.25">
      <c r="A20" s="503" t="s">
        <v>741</v>
      </c>
      <c r="B20" s="509">
        <v>0</v>
      </c>
      <c r="C20" s="510">
        <v>0</v>
      </c>
      <c r="D20" s="510">
        <v>0</v>
      </c>
      <c r="E20" s="510">
        <v>0</v>
      </c>
      <c r="F20" s="510">
        <v>0</v>
      </c>
      <c r="G20" s="509">
        <v>0</v>
      </c>
      <c r="H20" s="486">
        <f>'Monthly Revenue Req.(EE&amp;C2_p2)'!C52</f>
        <v>12410886.040000001</v>
      </c>
      <c r="I20" s="511">
        <f>'Monthly Revenue Req.(EE&amp;C2_p2)'!C53</f>
        <v>17339157.07</v>
      </c>
      <c r="J20" s="511">
        <f>'Monthly Revenue Req.(EE&amp;C2_p2)'!C54</f>
        <v>12544197.660000002</v>
      </c>
      <c r="K20" s="511">
        <f>'Monthly Revenue Req.(EE&amp;C2_p2)'!C55</f>
        <v>10874304.499999998</v>
      </c>
      <c r="L20" s="511">
        <f>'Monthly Revenue Req.(EE&amp;C2_p2)'!C56</f>
        <v>10639815.479999999</v>
      </c>
      <c r="M20" s="532">
        <f>'Monthly Revenue Req.(EE&amp;C2_p2)'!C57</f>
        <v>15285026.299999997</v>
      </c>
      <c r="N20" s="512">
        <f>SUM(B20:M20)</f>
        <v>79093387.049999997</v>
      </c>
      <c r="O20" s="486">
        <f>'Monthly Revenue Req.(EE&amp;C2_p2)'!C70</f>
        <v>22364523.007100713</v>
      </c>
      <c r="P20" s="511">
        <f>'Monthly Revenue Req.(EE&amp;C2_p2)'!C71</f>
        <v>21797160.750279892</v>
      </c>
      <c r="Q20" s="511">
        <f>'Monthly Revenue Req.(EE&amp;C2_p2)'!C72</f>
        <v>17642592.203910045</v>
      </c>
      <c r="R20" s="511">
        <f>'Monthly Revenue Req.(EE&amp;C2_p2)'!C73</f>
        <v>15145468.025599435</v>
      </c>
      <c r="S20" s="511">
        <f>'Monthly Revenue Req.(EE&amp;C2_p2)'!C74</f>
        <v>15935903.15472397</v>
      </c>
      <c r="T20" s="532">
        <f>'Monthly Revenue Req.(EE&amp;C2_p2)'!C75</f>
        <v>17524992.172878321</v>
      </c>
      <c r="U20" s="512">
        <f>SUM(O20:T20)</f>
        <v>110410639.31449237</v>
      </c>
    </row>
    <row r="21" spans="1:21" s="475" customFormat="1" ht="16.5" thickBot="1" x14ac:dyDescent="0.3">
      <c r="A21" s="489" t="s">
        <v>773</v>
      </c>
      <c r="B21" s="490">
        <v>0</v>
      </c>
      <c r="C21" s="491">
        <v>0</v>
      </c>
      <c r="D21" s="491">
        <v>0</v>
      </c>
      <c r="E21" s="491">
        <v>0</v>
      </c>
      <c r="F21" s="491">
        <v>0</v>
      </c>
      <c r="G21" s="490">
        <v>0</v>
      </c>
      <c r="H21" s="506">
        <f t="shared" ref="H21:M21" si="4">-H20</f>
        <v>-12410886.040000001</v>
      </c>
      <c r="I21" s="493">
        <f t="shared" si="4"/>
        <v>-17339157.07</v>
      </c>
      <c r="J21" s="493">
        <f t="shared" si="4"/>
        <v>-12544197.660000002</v>
      </c>
      <c r="K21" s="493">
        <f t="shared" si="4"/>
        <v>-10874304.499999998</v>
      </c>
      <c r="L21" s="493">
        <f t="shared" si="4"/>
        <v>-10639815.479999999</v>
      </c>
      <c r="M21" s="491">
        <f t="shared" si="4"/>
        <v>-15285026.299999997</v>
      </c>
      <c r="N21" s="494">
        <f>SUM(B21:M21)</f>
        <v>-79093387.049999997</v>
      </c>
      <c r="O21" s="506">
        <f t="shared" ref="O21:T21" si="5">-O20</f>
        <v>-22364523.007100713</v>
      </c>
      <c r="P21" s="493">
        <f t="shared" si="5"/>
        <v>-21797160.750279892</v>
      </c>
      <c r="Q21" s="493">
        <f t="shared" si="5"/>
        <v>-17642592.203910045</v>
      </c>
      <c r="R21" s="493">
        <f t="shared" si="5"/>
        <v>-15145468.025599435</v>
      </c>
      <c r="S21" s="493">
        <f t="shared" si="5"/>
        <v>-15935903.15472397</v>
      </c>
      <c r="T21" s="491">
        <f t="shared" si="5"/>
        <v>-17524992.172878321</v>
      </c>
      <c r="U21" s="494">
        <f>SUM(O21:T21)</f>
        <v>-110410639.31449237</v>
      </c>
    </row>
    <row r="22" spans="1:21" s="475" customFormat="1" ht="16.5" thickBot="1" x14ac:dyDescent="0.3">
      <c r="A22" s="495"/>
      <c r="B22" s="496"/>
      <c r="C22" s="496"/>
      <c r="D22" s="496"/>
      <c r="E22" s="496"/>
      <c r="F22" s="496"/>
      <c r="G22" s="496"/>
      <c r="H22" s="481"/>
      <c r="I22" s="482"/>
      <c r="J22" s="482"/>
      <c r="K22" s="482"/>
      <c r="L22" s="482"/>
      <c r="M22" s="482"/>
      <c r="N22" s="483"/>
      <c r="O22" s="481"/>
      <c r="P22" s="482"/>
      <c r="Q22" s="482"/>
      <c r="R22" s="482"/>
      <c r="S22" s="482"/>
      <c r="T22" s="482"/>
      <c r="U22" s="483"/>
    </row>
    <row r="23" spans="1:21" s="475" customFormat="1" ht="16.5" hidden="1" thickBot="1" x14ac:dyDescent="0.3">
      <c r="A23" s="513" t="s">
        <v>710</v>
      </c>
      <c r="B23" s="514"/>
      <c r="C23" s="514"/>
      <c r="D23" s="514"/>
      <c r="E23" s="514"/>
      <c r="F23" s="514"/>
      <c r="G23" s="514"/>
      <c r="H23" s="535"/>
      <c r="I23" s="536"/>
      <c r="J23" s="536"/>
      <c r="K23" s="536"/>
      <c r="L23" s="536"/>
      <c r="M23" s="515"/>
      <c r="N23" s="516"/>
      <c r="O23" s="535"/>
      <c r="P23" s="536"/>
      <c r="Q23" s="536"/>
      <c r="R23" s="536"/>
      <c r="S23" s="536"/>
      <c r="T23" s="515"/>
      <c r="U23" s="516"/>
    </row>
    <row r="24" spans="1:21" s="475" customFormat="1" ht="16.5" hidden="1" thickBot="1" x14ac:dyDescent="0.3">
      <c r="A24" s="517" t="s">
        <v>741</v>
      </c>
      <c r="B24" s="518">
        <v>0</v>
      </c>
      <c r="C24" s="519">
        <v>0</v>
      </c>
      <c r="D24" s="519">
        <v>0</v>
      </c>
      <c r="E24" s="519">
        <v>0</v>
      </c>
      <c r="F24" s="519">
        <v>0</v>
      </c>
      <c r="G24" s="518">
        <v>0</v>
      </c>
      <c r="H24" s="520">
        <f>'Monthly Revenue Req.(EE&amp;C2_p2)'!E16</f>
        <v>0</v>
      </c>
      <c r="I24" s="521">
        <f>'Monthly Revenue Req.(EE&amp;C2_p2)'!E17</f>
        <v>0</v>
      </c>
      <c r="J24" s="521">
        <f>'Monthly Revenue Req.(EE&amp;C2_p2)'!E18</f>
        <v>0</v>
      </c>
      <c r="K24" s="521">
        <f>'Monthly Revenue Req.(EE&amp;C2_p2)'!E19</f>
        <v>0</v>
      </c>
      <c r="L24" s="521">
        <f>'Monthly Revenue Req.(EE&amp;C2_p2)'!E20</f>
        <v>0</v>
      </c>
      <c r="M24" s="519">
        <f>'Monthly Revenue Req.(EE&amp;C2_p2)'!E21</f>
        <v>0</v>
      </c>
      <c r="N24" s="522">
        <f>SUM(B24:M24)</f>
        <v>0</v>
      </c>
      <c r="O24" s="520">
        <f>'Monthly Revenue Req.(EE&amp;C2_p2)'!E34</f>
        <v>0</v>
      </c>
      <c r="P24" s="521">
        <v>0</v>
      </c>
      <c r="Q24" s="521">
        <v>0</v>
      </c>
      <c r="R24" s="521">
        <v>0</v>
      </c>
      <c r="S24" s="521">
        <v>0</v>
      </c>
      <c r="T24" s="519">
        <v>0</v>
      </c>
      <c r="U24" s="522">
        <f>SUM(O24:T24)</f>
        <v>0</v>
      </c>
    </row>
    <row r="25" spans="1:21" s="475" customFormat="1" ht="16.5" hidden="1" thickBot="1" x14ac:dyDescent="0.3">
      <c r="A25" s="523" t="s">
        <v>773</v>
      </c>
      <c r="B25" s="524">
        <v>0</v>
      </c>
      <c r="C25" s="525">
        <v>0</v>
      </c>
      <c r="D25" s="525">
        <v>0</v>
      </c>
      <c r="E25" s="525">
        <v>0</v>
      </c>
      <c r="F25" s="525">
        <v>0</v>
      </c>
      <c r="G25" s="524">
        <v>0</v>
      </c>
      <c r="H25" s="526">
        <f t="shared" ref="H25:M25" si="6">-H24</f>
        <v>0</v>
      </c>
      <c r="I25" s="527">
        <f t="shared" si="6"/>
        <v>0</v>
      </c>
      <c r="J25" s="527">
        <f t="shared" si="6"/>
        <v>0</v>
      </c>
      <c r="K25" s="527">
        <f t="shared" si="6"/>
        <v>0</v>
      </c>
      <c r="L25" s="527">
        <f t="shared" si="6"/>
        <v>0</v>
      </c>
      <c r="M25" s="525">
        <f t="shared" si="6"/>
        <v>0</v>
      </c>
      <c r="N25" s="528">
        <f>SUM(B25:M25)</f>
        <v>0</v>
      </c>
      <c r="O25" s="526">
        <f t="shared" ref="O25:R25" si="7">-O24</f>
        <v>0</v>
      </c>
      <c r="P25" s="527">
        <f t="shared" si="7"/>
        <v>0</v>
      </c>
      <c r="Q25" s="527">
        <f t="shared" si="7"/>
        <v>0</v>
      </c>
      <c r="R25" s="527">
        <f t="shared" si="7"/>
        <v>0</v>
      </c>
      <c r="S25" s="527">
        <f t="shared" ref="S25:T25" si="8">-S24</f>
        <v>0</v>
      </c>
      <c r="T25" s="525">
        <f t="shared" si="8"/>
        <v>0</v>
      </c>
      <c r="U25" s="528">
        <f>SUM(O25:T25)</f>
        <v>0</v>
      </c>
    </row>
    <row r="26" spans="1:21" s="475" customFormat="1" ht="16.5" hidden="1" thickBot="1" x14ac:dyDescent="0.3">
      <c r="A26" s="495"/>
      <c r="B26" s="496"/>
      <c r="C26" s="496"/>
      <c r="D26" s="496"/>
      <c r="E26" s="496"/>
      <c r="F26" s="496"/>
      <c r="G26" s="496"/>
      <c r="H26" s="533"/>
      <c r="I26" s="534"/>
      <c r="J26" s="534"/>
      <c r="K26" s="534"/>
      <c r="L26" s="534"/>
      <c r="M26" s="482"/>
      <c r="N26" s="483"/>
      <c r="O26" s="533"/>
      <c r="P26" s="534"/>
      <c r="Q26" s="534"/>
      <c r="R26" s="534"/>
      <c r="S26" s="534"/>
      <c r="T26" s="482"/>
      <c r="U26" s="483"/>
    </row>
    <row r="27" spans="1:21" s="475" customFormat="1" ht="16.5" thickBot="1" x14ac:dyDescent="0.3">
      <c r="A27" s="497" t="s">
        <v>92</v>
      </c>
      <c r="B27" s="498"/>
      <c r="C27" s="498"/>
      <c r="D27" s="498"/>
      <c r="E27" s="498"/>
      <c r="F27" s="498"/>
      <c r="G27" s="498"/>
      <c r="H27" s="533"/>
      <c r="I27" s="534"/>
      <c r="J27" s="534"/>
      <c r="K27" s="534"/>
      <c r="L27" s="534"/>
      <c r="M27" s="482"/>
      <c r="N27" s="483"/>
      <c r="O27" s="533"/>
      <c r="P27" s="534"/>
      <c r="Q27" s="534"/>
      <c r="R27" s="534"/>
      <c r="S27" s="534"/>
      <c r="T27" s="482"/>
      <c r="U27" s="483"/>
    </row>
    <row r="28" spans="1:21" s="475" customFormat="1" ht="15.75" x14ac:dyDescent="0.25">
      <c r="A28" s="503" t="s">
        <v>742</v>
      </c>
      <c r="B28" s="509">
        <v>0</v>
      </c>
      <c r="C28" s="510">
        <v>0</v>
      </c>
      <c r="D28" s="510">
        <v>0</v>
      </c>
      <c r="E28" s="510">
        <v>0</v>
      </c>
      <c r="F28" s="510">
        <v>0</v>
      </c>
      <c r="G28" s="509">
        <v>0</v>
      </c>
      <c r="H28" s="486">
        <f>-'Monthly Revenue Req.(EE&amp;C2_p2)'!G52</f>
        <v>-284288.83</v>
      </c>
      <c r="I28" s="511">
        <f>-'Monthly Revenue Req.(EE&amp;C2_p2)'!G53</f>
        <v>-428781.81</v>
      </c>
      <c r="J28" s="511">
        <f>-'Monthly Revenue Req.(EE&amp;C2_p2)'!G54</f>
        <v>-533316.79</v>
      </c>
      <c r="K28" s="511">
        <f>-'Monthly Revenue Req.(EE&amp;C2_p2)'!G55</f>
        <v>-623935.99</v>
      </c>
      <c r="L28" s="511">
        <f>-'Monthly Revenue Req.(EE&amp;C2_p2)'!G56</f>
        <v>-712601.12</v>
      </c>
      <c r="M28" s="532">
        <f>-'Monthly Revenue Req.(EE&amp;C2_p2)'!G57</f>
        <v>-839976.34</v>
      </c>
      <c r="N28" s="512">
        <f>SUM(B28:M28)</f>
        <v>-3422900.88</v>
      </c>
      <c r="O28" s="486">
        <f>-'Monthly Revenue Req.(EE&amp;C2_p2)'!G70</f>
        <v>-1026347.37</v>
      </c>
      <c r="P28" s="511">
        <f>-'Monthly Revenue Req.(EE&amp;C2_p2)'!G71</f>
        <v>-1207990.3799999999</v>
      </c>
      <c r="Q28" s="511">
        <f>-'Monthly Revenue Req.(EE&amp;C2_p2)'!G72</f>
        <v>-1355011.98</v>
      </c>
      <c r="R28" s="511">
        <f>-'Monthly Revenue Req.(EE&amp;C2_p2)'!G73</f>
        <v>-1481224.21</v>
      </c>
      <c r="S28" s="511">
        <f>-'Monthly Revenue Req.(EE&amp;C2_p2)'!G74</f>
        <v>-1614023.4</v>
      </c>
      <c r="T28" s="532">
        <f>-'Monthly Revenue Req.(EE&amp;C2_p2)'!G75</f>
        <v>-1760065</v>
      </c>
      <c r="U28" s="512">
        <f>SUM(O28:T28)</f>
        <v>-8444662.3399999999</v>
      </c>
    </row>
    <row r="29" spans="1:21" s="475" customFormat="1" ht="16.5" thickBot="1" x14ac:dyDescent="0.3">
      <c r="A29" s="489" t="s">
        <v>774</v>
      </c>
      <c r="B29" s="490">
        <v>0</v>
      </c>
      <c r="C29" s="491">
        <v>0</v>
      </c>
      <c r="D29" s="491">
        <v>0</v>
      </c>
      <c r="E29" s="491">
        <v>0</v>
      </c>
      <c r="F29" s="491">
        <v>0</v>
      </c>
      <c r="G29" s="490">
        <v>0</v>
      </c>
      <c r="H29" s="492">
        <f t="shared" ref="H29:M29" si="9">-H28</f>
        <v>284288.83</v>
      </c>
      <c r="I29" s="493">
        <f t="shared" si="9"/>
        <v>428781.81</v>
      </c>
      <c r="J29" s="493">
        <f t="shared" si="9"/>
        <v>533316.79</v>
      </c>
      <c r="K29" s="493">
        <f t="shared" si="9"/>
        <v>623935.99</v>
      </c>
      <c r="L29" s="493">
        <f t="shared" si="9"/>
        <v>712601.12</v>
      </c>
      <c r="M29" s="491">
        <f t="shared" si="9"/>
        <v>839976.34</v>
      </c>
      <c r="N29" s="494">
        <f>SUM(B29:M29)</f>
        <v>3422900.88</v>
      </c>
      <c r="O29" s="492">
        <f t="shared" ref="O29:T29" si="10">-O28</f>
        <v>1026347.37</v>
      </c>
      <c r="P29" s="493">
        <f t="shared" si="10"/>
        <v>1207990.3799999999</v>
      </c>
      <c r="Q29" s="493">
        <f t="shared" si="10"/>
        <v>1355011.98</v>
      </c>
      <c r="R29" s="493">
        <f t="shared" si="10"/>
        <v>1481224.21</v>
      </c>
      <c r="S29" s="493">
        <f t="shared" si="10"/>
        <v>1614023.4</v>
      </c>
      <c r="T29" s="491">
        <f t="shared" si="10"/>
        <v>1760065</v>
      </c>
      <c r="U29" s="494">
        <f>SUM(O29:T29)</f>
        <v>8444662.3399999999</v>
      </c>
    </row>
    <row r="30" spans="1:21" s="475" customFormat="1" ht="16.5" thickBot="1" x14ac:dyDescent="0.3">
      <c r="A30" s="495"/>
      <c r="B30" s="496"/>
      <c r="C30" s="496"/>
      <c r="D30" s="496"/>
      <c r="E30" s="496"/>
      <c r="F30" s="496"/>
      <c r="G30" s="496"/>
      <c r="H30" s="481"/>
      <c r="I30" s="482"/>
      <c r="J30" s="482"/>
      <c r="K30" s="482"/>
      <c r="L30" s="482"/>
      <c r="M30" s="482"/>
      <c r="N30" s="483"/>
      <c r="O30" s="481"/>
      <c r="P30" s="482"/>
      <c r="Q30" s="482"/>
      <c r="R30" s="482"/>
      <c r="S30" s="482"/>
      <c r="T30" s="482"/>
      <c r="U30" s="483"/>
    </row>
    <row r="31" spans="1:21" ht="16.5" hidden="1" thickBot="1" x14ac:dyDescent="0.3">
      <c r="A31" s="449" t="s">
        <v>93</v>
      </c>
      <c r="B31" s="450"/>
      <c r="C31" s="450"/>
      <c r="D31" s="450"/>
      <c r="E31" s="450"/>
      <c r="F31" s="450"/>
      <c r="G31" s="450"/>
      <c r="H31" s="451" t="s">
        <v>727</v>
      </c>
      <c r="I31" s="452"/>
      <c r="J31" s="452"/>
      <c r="K31" s="452"/>
      <c r="L31" s="452"/>
      <c r="M31" s="452"/>
      <c r="N31" s="453"/>
      <c r="O31" s="451" t="s">
        <v>727</v>
      </c>
      <c r="P31" s="452"/>
      <c r="Q31" s="452"/>
      <c r="R31" s="452"/>
      <c r="S31" s="452"/>
      <c r="T31" s="452"/>
      <c r="U31" s="453"/>
    </row>
    <row r="32" spans="1:21" ht="15.75" hidden="1" x14ac:dyDescent="0.25">
      <c r="A32" s="454" t="s">
        <v>768</v>
      </c>
      <c r="B32" s="455">
        <v>0</v>
      </c>
      <c r="C32" s="456">
        <v>0</v>
      </c>
      <c r="D32" s="456">
        <v>0</v>
      </c>
      <c r="E32" s="456">
        <v>0</v>
      </c>
      <c r="F32" s="456">
        <v>0</v>
      </c>
      <c r="G32" s="455">
        <v>0</v>
      </c>
      <c r="H32" s="457"/>
      <c r="I32" s="458"/>
      <c r="J32" s="458"/>
      <c r="K32" s="458"/>
      <c r="L32" s="458"/>
      <c r="M32" s="458"/>
      <c r="N32" s="459">
        <f>SUM(H32:M32)</f>
        <v>0</v>
      </c>
      <c r="O32" s="457"/>
      <c r="P32" s="458"/>
      <c r="Q32" s="458"/>
      <c r="R32" s="458"/>
      <c r="S32" s="458"/>
      <c r="T32" s="459"/>
      <c r="U32" s="460">
        <f>SUM(O32:T32)</f>
        <v>0</v>
      </c>
    </row>
    <row r="33" spans="1:21" ht="16.5" hidden="1" thickBot="1" x14ac:dyDescent="0.3">
      <c r="A33" s="461" t="s">
        <v>767</v>
      </c>
      <c r="B33" s="462">
        <v>0</v>
      </c>
      <c r="C33" s="463">
        <v>0</v>
      </c>
      <c r="D33" s="463">
        <v>0</v>
      </c>
      <c r="E33" s="463">
        <v>0</v>
      </c>
      <c r="F33" s="463">
        <v>0</v>
      </c>
      <c r="G33" s="462">
        <v>0</v>
      </c>
      <c r="H33" s="464"/>
      <c r="I33" s="465"/>
      <c r="J33" s="465"/>
      <c r="K33" s="465"/>
      <c r="L33" s="465"/>
      <c r="M33" s="465"/>
      <c r="N33" s="466">
        <f>SUM(H33:M33)</f>
        <v>0</v>
      </c>
      <c r="O33" s="464"/>
      <c r="P33" s="465"/>
      <c r="Q33" s="465"/>
      <c r="R33" s="465"/>
      <c r="S33" s="465"/>
      <c r="T33" s="466"/>
      <c r="U33" s="467">
        <f>SUM(O33:T33)</f>
        <v>0</v>
      </c>
    </row>
    <row r="34" spans="1:21" ht="15.75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</row>
  </sheetData>
  <phoneticPr fontId="8" type="noConversion"/>
  <printOptions horizontalCentered="1"/>
  <pageMargins left="0.1" right="0.1" top="0.75" bottom="0.5" header="0.3" footer="0.3"/>
  <pageSetup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911B5-4C2D-4EF3-A336-91CC2985D0D1}">
  <sheetPr>
    <tabColor rgb="FFFFFF00"/>
    <pageSetUpPr fitToPage="1"/>
  </sheetPr>
  <dimension ref="A1:K41"/>
  <sheetViews>
    <sheetView showGridLines="0" view="pageBreakPreview" zoomScale="90" zoomScaleNormal="100" zoomScaleSheetLayoutView="90" workbookViewId="0"/>
  </sheetViews>
  <sheetFormatPr defaultRowHeight="15" x14ac:dyDescent="0.25"/>
  <cols>
    <col min="1" max="1" width="161.5703125" customWidth="1"/>
    <col min="9" max="9" width="12" customWidth="1"/>
  </cols>
  <sheetData>
    <row r="1" spans="1:9" ht="18.75" x14ac:dyDescent="0.3">
      <c r="A1" s="146" t="str">
        <f>+'Revs by Rate Class (EE&amp;C2_p1)'!I1</f>
        <v>Attachment EE&amp;C2-1</v>
      </c>
    </row>
    <row r="2" spans="1:9" ht="18.75" x14ac:dyDescent="0.3">
      <c r="A2" s="146" t="s">
        <v>320</v>
      </c>
    </row>
    <row r="4" spans="1:9" ht="18.75" x14ac:dyDescent="0.3">
      <c r="A4" s="150" t="s">
        <v>0</v>
      </c>
      <c r="B4" s="32"/>
      <c r="C4" s="32"/>
      <c r="D4" s="32"/>
      <c r="E4" s="32"/>
      <c r="F4" s="32"/>
      <c r="G4" s="32"/>
      <c r="H4" s="32"/>
      <c r="I4" s="32"/>
    </row>
    <row r="5" spans="1:9" ht="18.75" x14ac:dyDescent="0.3">
      <c r="A5" s="150" t="s">
        <v>776</v>
      </c>
      <c r="B5" s="32"/>
      <c r="C5" s="32"/>
      <c r="D5" s="32"/>
      <c r="E5" s="32"/>
      <c r="F5" s="32"/>
      <c r="G5" s="32"/>
      <c r="H5" s="32"/>
      <c r="I5" s="32"/>
    </row>
    <row r="6" spans="1:9" ht="18.75" x14ac:dyDescent="0.3">
      <c r="A6" s="150" t="str">
        <f>+'RRC Component Rates (RRC-1)'!A5</f>
        <v>For All Components of Rider RRC</v>
      </c>
      <c r="B6" s="32"/>
      <c r="C6" s="32"/>
      <c r="D6" s="32"/>
      <c r="E6" s="32"/>
      <c r="F6" s="32"/>
      <c r="G6" s="32"/>
      <c r="H6" s="32"/>
      <c r="I6" s="32"/>
    </row>
    <row r="7" spans="1:9" ht="18.75" x14ac:dyDescent="0.3">
      <c r="A7" s="150" t="s">
        <v>777</v>
      </c>
    </row>
    <row r="12" spans="1:9" ht="18.75" x14ac:dyDescent="0.3">
      <c r="A12" s="2"/>
      <c r="B12" s="147"/>
      <c r="C12" s="148"/>
      <c r="D12" s="148"/>
      <c r="E12" s="148"/>
      <c r="F12" s="148"/>
      <c r="G12" s="148"/>
    </row>
    <row r="15" spans="1:9" ht="18.75" x14ac:dyDescent="0.3">
      <c r="A15" s="150"/>
    </row>
    <row r="34" spans="1:11" x14ac:dyDescent="0.25">
      <c r="K34" s="22" t="s">
        <v>94</v>
      </c>
    </row>
    <row r="41" spans="1:11" x14ac:dyDescent="0.25">
      <c r="A41" s="22" t="s">
        <v>94</v>
      </c>
    </row>
  </sheetData>
  <printOptions horizontalCentered="1"/>
  <pageMargins left="0.25" right="0.25" top="0.7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9F58A-66A8-4965-9B83-5947B8F9EF22}">
  <sheetPr>
    <tabColor rgb="FF0000FF"/>
  </sheetPr>
  <dimension ref="A1:U14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3" sqref="R3"/>
    </sheetView>
  </sheetViews>
  <sheetFormatPr defaultRowHeight="15" x14ac:dyDescent="0.25"/>
  <cols>
    <col min="1" max="1" width="7.85546875" bestFit="1" customWidth="1"/>
    <col min="2" max="2" width="20.7109375" bestFit="1" customWidth="1"/>
    <col min="3" max="3" width="11.42578125" bestFit="1" customWidth="1"/>
    <col min="4" max="5" width="14.5703125" bestFit="1" customWidth="1"/>
    <col min="7" max="8" width="6" customWidth="1"/>
    <col min="9" max="9" width="12.28515625" bestFit="1" customWidth="1"/>
    <col min="10" max="10" width="13.5703125" bestFit="1" customWidth="1"/>
    <col min="11" max="11" width="12.85546875" bestFit="1" customWidth="1"/>
    <col min="12" max="12" width="14.42578125" bestFit="1" customWidth="1"/>
    <col min="13" max="13" width="13.85546875" bestFit="1" customWidth="1"/>
    <col min="14" max="14" width="12.85546875" bestFit="1" customWidth="1"/>
    <col min="15" max="15" width="15.28515625" bestFit="1" customWidth="1"/>
    <col min="16" max="16" width="13.85546875" bestFit="1" customWidth="1"/>
    <col min="17" max="17" width="5.28515625" customWidth="1"/>
    <col min="19" max="19" width="11" bestFit="1" customWidth="1"/>
    <col min="20" max="20" width="10.28515625" bestFit="1" customWidth="1"/>
    <col min="21" max="21" width="13.5703125" bestFit="1" customWidth="1"/>
  </cols>
  <sheetData>
    <row r="1" spans="1:21" ht="36.75" thickBot="1" x14ac:dyDescent="0.3">
      <c r="A1" s="159" t="s">
        <v>127</v>
      </c>
      <c r="B1" s="160" t="s">
        <v>342</v>
      </c>
      <c r="C1" s="542" t="s">
        <v>712</v>
      </c>
      <c r="E1" s="542" t="s">
        <v>713</v>
      </c>
      <c r="I1" s="330" t="s">
        <v>714</v>
      </c>
      <c r="J1" s="330" t="s">
        <v>715</v>
      </c>
      <c r="K1" s="330" t="s">
        <v>716</v>
      </c>
      <c r="L1" s="330" t="s">
        <v>717</v>
      </c>
      <c r="M1" s="330" t="s">
        <v>718</v>
      </c>
      <c r="N1" s="330" t="s">
        <v>719</v>
      </c>
      <c r="O1" s="330" t="s">
        <v>720</v>
      </c>
      <c r="P1" s="330" t="s">
        <v>721</v>
      </c>
    </row>
    <row r="2" spans="1:21" ht="15.75" thickBot="1" x14ac:dyDescent="0.3">
      <c r="A2" s="160"/>
      <c r="B2" s="160"/>
      <c r="C2" s="543"/>
      <c r="E2" s="543" t="s">
        <v>722</v>
      </c>
      <c r="G2" s="330" t="s">
        <v>723</v>
      </c>
      <c r="H2" s="330" t="s">
        <v>339</v>
      </c>
      <c r="I2" s="331">
        <v>6.9999999999999999E-6</v>
      </c>
      <c r="J2" s="331">
        <v>1.9650000000000002E-3</v>
      </c>
      <c r="K2" s="331">
        <v>2.5399999999999999E-4</v>
      </c>
      <c r="L2" s="331">
        <v>0</v>
      </c>
      <c r="M2" s="331">
        <f>+I2+J2+K2+L2</f>
        <v>2.2260000000000001E-3</v>
      </c>
      <c r="N2" s="331">
        <v>9.2900000000000003E-4</v>
      </c>
      <c r="O2" s="331">
        <v>1.2800000000000001E-3</v>
      </c>
      <c r="P2" s="331">
        <f>SUM(M2:O2)</f>
        <v>4.4350000000000006E-3</v>
      </c>
    </row>
    <row r="3" spans="1:21" x14ac:dyDescent="0.25">
      <c r="A3" s="332" t="s">
        <v>99</v>
      </c>
      <c r="B3" s="332" t="s">
        <v>150</v>
      </c>
      <c r="C3" s="333">
        <v>1759000773.5293355</v>
      </c>
      <c r="G3" s="334" t="s">
        <v>73</v>
      </c>
      <c r="H3" s="335">
        <v>2025</v>
      </c>
      <c r="I3" s="336">
        <f>ROUND(I$2*$C3,2)</f>
        <v>12313.01</v>
      </c>
      <c r="J3" s="336">
        <f>ROUND(J$2*$C3,2)</f>
        <v>3456436.52</v>
      </c>
      <c r="K3" s="336">
        <f>ROUND(K$2*$C3,2)</f>
        <v>446786.2</v>
      </c>
      <c r="L3" s="336">
        <f>ROUND(L$2*$C3,2)</f>
        <v>0</v>
      </c>
      <c r="M3" s="336">
        <f>SUM(I3:L3)</f>
        <v>3915535.73</v>
      </c>
      <c r="N3" s="336">
        <f t="shared" ref="N3:O21" si="0">ROUND(N$2*$C3,2)</f>
        <v>1634111.72</v>
      </c>
      <c r="O3" s="336">
        <f t="shared" si="0"/>
        <v>2251520.9900000002</v>
      </c>
      <c r="P3" s="336">
        <f>+M3+N3+O3</f>
        <v>7801168.4400000004</v>
      </c>
    </row>
    <row r="4" spans="1:21" x14ac:dyDescent="0.25">
      <c r="A4" s="332" t="s">
        <v>99</v>
      </c>
      <c r="B4" s="332" t="s">
        <v>151</v>
      </c>
      <c r="C4" s="333">
        <v>1518430809.3218429</v>
      </c>
      <c r="G4" s="337" t="s">
        <v>74</v>
      </c>
      <c r="H4" s="338">
        <f t="shared" ref="H4:H14" si="1">+H3</f>
        <v>2025</v>
      </c>
      <c r="I4" s="339">
        <f t="shared" ref="I4:L21" si="2">ROUND(I$2*$C4,2)</f>
        <v>10629.02</v>
      </c>
      <c r="J4" s="339">
        <f t="shared" si="2"/>
        <v>2983716.54</v>
      </c>
      <c r="K4" s="339">
        <f t="shared" si="2"/>
        <v>385681.43</v>
      </c>
      <c r="L4" s="339">
        <f t="shared" si="2"/>
        <v>0</v>
      </c>
      <c r="M4" s="339">
        <f t="shared" ref="M4:M32" si="3">SUM(I4:L4)</f>
        <v>3380026.99</v>
      </c>
      <c r="N4" s="339">
        <f t="shared" si="0"/>
        <v>1410622.22</v>
      </c>
      <c r="O4" s="339">
        <f t="shared" si="0"/>
        <v>1943591.44</v>
      </c>
      <c r="P4" s="339">
        <f t="shared" ref="P4:P14" si="4">+M4+N4+O4</f>
        <v>6734240.6500000004</v>
      </c>
    </row>
    <row r="5" spans="1:21" x14ac:dyDescent="0.25">
      <c r="A5" s="332" t="s">
        <v>99</v>
      </c>
      <c r="B5" s="332" t="s">
        <v>152</v>
      </c>
      <c r="C5" s="333">
        <v>1507885486.8065979</v>
      </c>
      <c r="G5" s="337" t="s">
        <v>75</v>
      </c>
      <c r="H5" s="338">
        <f t="shared" si="1"/>
        <v>2025</v>
      </c>
      <c r="I5" s="339">
        <f t="shared" si="2"/>
        <v>10555.2</v>
      </c>
      <c r="J5" s="339">
        <f t="shared" si="2"/>
        <v>2962994.98</v>
      </c>
      <c r="K5" s="339">
        <f t="shared" si="2"/>
        <v>383002.91</v>
      </c>
      <c r="L5" s="339">
        <f t="shared" si="2"/>
        <v>0</v>
      </c>
      <c r="M5" s="339">
        <f t="shared" si="3"/>
        <v>3356553.0900000003</v>
      </c>
      <c r="N5" s="339">
        <f t="shared" si="0"/>
        <v>1400825.62</v>
      </c>
      <c r="O5" s="339">
        <f t="shared" si="0"/>
        <v>1930093.42</v>
      </c>
      <c r="P5" s="339">
        <f t="shared" si="4"/>
        <v>6687472.1300000008</v>
      </c>
    </row>
    <row r="6" spans="1:21" x14ac:dyDescent="0.25">
      <c r="A6" s="332" t="s">
        <v>99</v>
      </c>
      <c r="B6" s="332" t="s">
        <v>153</v>
      </c>
      <c r="C6" s="333">
        <v>1302385182.5523028</v>
      </c>
      <c r="G6" s="337" t="s">
        <v>76</v>
      </c>
      <c r="H6" s="338">
        <f t="shared" si="1"/>
        <v>2025</v>
      </c>
      <c r="I6" s="339">
        <f t="shared" si="2"/>
        <v>9116.7000000000007</v>
      </c>
      <c r="J6" s="339">
        <f t="shared" si="2"/>
        <v>2559186.88</v>
      </c>
      <c r="K6" s="339">
        <f t="shared" si="2"/>
        <v>330805.84000000003</v>
      </c>
      <c r="L6" s="339">
        <f t="shared" si="2"/>
        <v>0</v>
      </c>
      <c r="M6" s="339">
        <f t="shared" si="3"/>
        <v>2899109.42</v>
      </c>
      <c r="N6" s="339">
        <f t="shared" si="0"/>
        <v>1209915.83</v>
      </c>
      <c r="O6" s="339">
        <f t="shared" si="0"/>
        <v>1667053.03</v>
      </c>
      <c r="P6" s="339">
        <f t="shared" si="4"/>
        <v>5776078.2800000003</v>
      </c>
    </row>
    <row r="7" spans="1:21" x14ac:dyDescent="0.25">
      <c r="A7" s="332" t="s">
        <v>99</v>
      </c>
      <c r="B7" s="332" t="s">
        <v>154</v>
      </c>
      <c r="C7" s="333">
        <v>1428856862.5901966</v>
      </c>
      <c r="G7" s="337" t="s">
        <v>77</v>
      </c>
      <c r="H7" s="338">
        <f t="shared" si="1"/>
        <v>2025</v>
      </c>
      <c r="I7" s="339">
        <f t="shared" si="2"/>
        <v>10002</v>
      </c>
      <c r="J7" s="339">
        <f t="shared" si="2"/>
        <v>2807703.73</v>
      </c>
      <c r="K7" s="339">
        <f t="shared" si="2"/>
        <v>362929.64</v>
      </c>
      <c r="L7" s="339">
        <f t="shared" si="2"/>
        <v>0</v>
      </c>
      <c r="M7" s="339">
        <f t="shared" si="3"/>
        <v>3180635.37</v>
      </c>
      <c r="N7" s="339">
        <f t="shared" si="0"/>
        <v>1327408.03</v>
      </c>
      <c r="O7" s="339">
        <f t="shared" si="0"/>
        <v>1828936.78</v>
      </c>
      <c r="P7" s="339">
        <f t="shared" si="4"/>
        <v>6336980.1800000006</v>
      </c>
    </row>
    <row r="8" spans="1:21" x14ac:dyDescent="0.25">
      <c r="A8" s="332" t="s">
        <v>99</v>
      </c>
      <c r="B8" s="332" t="s">
        <v>155</v>
      </c>
      <c r="C8" s="333">
        <v>1734303796.9310451</v>
      </c>
      <c r="G8" s="337" t="s">
        <v>88</v>
      </c>
      <c r="H8" s="338">
        <f t="shared" si="1"/>
        <v>2025</v>
      </c>
      <c r="I8" s="339">
        <f t="shared" si="2"/>
        <v>12140.13</v>
      </c>
      <c r="J8" s="339">
        <f t="shared" si="2"/>
        <v>3407906.96</v>
      </c>
      <c r="K8" s="339">
        <f t="shared" si="2"/>
        <v>440513.16</v>
      </c>
      <c r="L8" s="339">
        <f t="shared" si="2"/>
        <v>0</v>
      </c>
      <c r="M8" s="339">
        <f t="shared" si="3"/>
        <v>3860560.25</v>
      </c>
      <c r="N8" s="339">
        <f t="shared" si="0"/>
        <v>1611168.23</v>
      </c>
      <c r="O8" s="339">
        <f t="shared" si="0"/>
        <v>2219908.86</v>
      </c>
      <c r="P8" s="339">
        <f t="shared" si="4"/>
        <v>7691637.3399999999</v>
      </c>
    </row>
    <row r="9" spans="1:21" x14ac:dyDescent="0.25">
      <c r="A9" s="332" t="s">
        <v>99</v>
      </c>
      <c r="B9" s="332" t="s">
        <v>156</v>
      </c>
      <c r="C9" s="333">
        <v>2175362578.0419292</v>
      </c>
      <c r="E9" s="340"/>
      <c r="G9" s="337" t="s">
        <v>724</v>
      </c>
      <c r="H9" s="338">
        <f t="shared" si="1"/>
        <v>2025</v>
      </c>
      <c r="I9" s="339">
        <f t="shared" si="2"/>
        <v>15227.54</v>
      </c>
      <c r="J9" s="339">
        <f t="shared" si="2"/>
        <v>4274587.47</v>
      </c>
      <c r="K9" s="339">
        <f t="shared" si="2"/>
        <v>552542.09</v>
      </c>
      <c r="L9" s="339">
        <f t="shared" si="2"/>
        <v>0</v>
      </c>
      <c r="M9" s="339">
        <f t="shared" si="3"/>
        <v>4842357.0999999996</v>
      </c>
      <c r="N9" s="339">
        <f t="shared" si="0"/>
        <v>2020911.84</v>
      </c>
      <c r="O9" s="339">
        <f t="shared" si="0"/>
        <v>2784464.1</v>
      </c>
      <c r="P9" s="339">
        <f t="shared" si="4"/>
        <v>9647733.0399999991</v>
      </c>
    </row>
    <row r="10" spans="1:21" x14ac:dyDescent="0.25">
      <c r="A10" s="332" t="s">
        <v>99</v>
      </c>
      <c r="B10" s="332" t="s">
        <v>157</v>
      </c>
      <c r="C10" s="333">
        <v>2073250569.5345669</v>
      </c>
      <c r="E10" s="340"/>
      <c r="G10" s="337" t="s">
        <v>80</v>
      </c>
      <c r="H10" s="338">
        <f t="shared" si="1"/>
        <v>2025</v>
      </c>
      <c r="I10" s="339">
        <f t="shared" si="2"/>
        <v>14512.75</v>
      </c>
      <c r="J10" s="339">
        <f t="shared" si="2"/>
        <v>4073937.37</v>
      </c>
      <c r="K10" s="339">
        <f t="shared" si="2"/>
        <v>526605.64</v>
      </c>
      <c r="L10" s="339">
        <f t="shared" si="2"/>
        <v>0</v>
      </c>
      <c r="M10" s="339">
        <f t="shared" si="3"/>
        <v>4615055.76</v>
      </c>
      <c r="N10" s="339">
        <f t="shared" si="0"/>
        <v>1926049.78</v>
      </c>
      <c r="O10" s="339">
        <f t="shared" si="0"/>
        <v>2653760.73</v>
      </c>
      <c r="P10" s="339">
        <f t="shared" si="4"/>
        <v>9194866.2699999996</v>
      </c>
    </row>
    <row r="11" spans="1:21" x14ac:dyDescent="0.25">
      <c r="A11" s="332" t="s">
        <v>99</v>
      </c>
      <c r="B11" s="332" t="s">
        <v>158</v>
      </c>
      <c r="C11" s="333">
        <v>1599765782.3234878</v>
      </c>
      <c r="E11" s="340"/>
      <c r="G11" s="337" t="s">
        <v>725</v>
      </c>
      <c r="H11" s="338">
        <f t="shared" si="1"/>
        <v>2025</v>
      </c>
      <c r="I11" s="339">
        <f t="shared" si="2"/>
        <v>11198.36</v>
      </c>
      <c r="J11" s="339">
        <f t="shared" si="2"/>
        <v>3143539.76</v>
      </c>
      <c r="K11" s="339">
        <f t="shared" si="2"/>
        <v>406340.51</v>
      </c>
      <c r="L11" s="339">
        <f t="shared" si="2"/>
        <v>0</v>
      </c>
      <c r="M11" s="339">
        <f t="shared" si="3"/>
        <v>3561078.63</v>
      </c>
      <c r="N11" s="339">
        <f t="shared" si="0"/>
        <v>1486182.41</v>
      </c>
      <c r="O11" s="339">
        <f t="shared" si="0"/>
        <v>2047700.2</v>
      </c>
      <c r="P11" s="339">
        <f t="shared" si="4"/>
        <v>7094961.2400000002</v>
      </c>
    </row>
    <row r="12" spans="1:21" x14ac:dyDescent="0.25">
      <c r="A12" s="332" t="s">
        <v>99</v>
      </c>
      <c r="B12" s="332" t="s">
        <v>159</v>
      </c>
      <c r="C12" s="333">
        <v>1376068342.2394078</v>
      </c>
      <c r="E12" s="340"/>
      <c r="G12" s="337" t="s">
        <v>82</v>
      </c>
      <c r="H12" s="338">
        <f t="shared" si="1"/>
        <v>2025</v>
      </c>
      <c r="I12" s="339">
        <f t="shared" si="2"/>
        <v>9632.48</v>
      </c>
      <c r="J12" s="339">
        <f t="shared" si="2"/>
        <v>2703974.29</v>
      </c>
      <c r="K12" s="339">
        <f t="shared" si="2"/>
        <v>349521.36</v>
      </c>
      <c r="L12" s="339">
        <f t="shared" si="2"/>
        <v>0</v>
      </c>
      <c r="M12" s="339">
        <f t="shared" si="3"/>
        <v>3063128.13</v>
      </c>
      <c r="N12" s="339">
        <f t="shared" si="0"/>
        <v>1278367.49</v>
      </c>
      <c r="O12" s="339">
        <f t="shared" si="0"/>
        <v>1761367.48</v>
      </c>
      <c r="P12" s="339">
        <f t="shared" si="4"/>
        <v>6102863.0999999996</v>
      </c>
    </row>
    <row r="13" spans="1:21" x14ac:dyDescent="0.25">
      <c r="A13" s="332" t="s">
        <v>99</v>
      </c>
      <c r="B13" s="332" t="s">
        <v>160</v>
      </c>
      <c r="C13" s="333">
        <v>1429993346.9448135</v>
      </c>
      <c r="E13" s="340"/>
      <c r="G13" s="337" t="s">
        <v>83</v>
      </c>
      <c r="H13" s="338">
        <f t="shared" si="1"/>
        <v>2025</v>
      </c>
      <c r="I13" s="339">
        <f t="shared" si="2"/>
        <v>10009.950000000001</v>
      </c>
      <c r="J13" s="339">
        <f t="shared" si="2"/>
        <v>2809936.93</v>
      </c>
      <c r="K13" s="339">
        <f t="shared" si="2"/>
        <v>363218.31</v>
      </c>
      <c r="L13" s="339">
        <f t="shared" si="2"/>
        <v>0</v>
      </c>
      <c r="M13" s="339">
        <f t="shared" si="3"/>
        <v>3183165.1900000004</v>
      </c>
      <c r="N13" s="339">
        <f t="shared" si="0"/>
        <v>1328463.82</v>
      </c>
      <c r="O13" s="339">
        <f t="shared" si="0"/>
        <v>1830391.48</v>
      </c>
      <c r="P13" s="339">
        <f t="shared" si="4"/>
        <v>6342020.4900000002</v>
      </c>
    </row>
    <row r="14" spans="1:21" x14ac:dyDescent="0.25">
      <c r="A14" s="332" t="s">
        <v>99</v>
      </c>
      <c r="B14" s="332" t="s">
        <v>161</v>
      </c>
      <c r="C14" s="333">
        <v>1674831676.3577332</v>
      </c>
      <c r="D14" s="333">
        <f>SUM(C3:C14)</f>
        <v>19580135207.173264</v>
      </c>
      <c r="E14" s="340"/>
      <c r="G14" s="337" t="s">
        <v>84</v>
      </c>
      <c r="H14" s="338">
        <f t="shared" si="1"/>
        <v>2025</v>
      </c>
      <c r="I14" s="339">
        <f t="shared" si="2"/>
        <v>11723.82</v>
      </c>
      <c r="J14" s="339">
        <f t="shared" si="2"/>
        <v>3291044.24</v>
      </c>
      <c r="K14" s="339">
        <f t="shared" si="2"/>
        <v>425407.25</v>
      </c>
      <c r="L14" s="339">
        <f t="shared" si="2"/>
        <v>0</v>
      </c>
      <c r="M14" s="339">
        <f t="shared" si="3"/>
        <v>3728175.31</v>
      </c>
      <c r="N14" s="339">
        <f t="shared" si="0"/>
        <v>1555918.63</v>
      </c>
      <c r="O14" s="339">
        <f t="shared" si="0"/>
        <v>2143784.5499999998</v>
      </c>
      <c r="P14" s="339">
        <f t="shared" si="4"/>
        <v>7427878.4899999993</v>
      </c>
      <c r="T14" s="537"/>
    </row>
    <row r="15" spans="1:21" x14ac:dyDescent="0.25">
      <c r="A15" s="379" t="s">
        <v>99</v>
      </c>
      <c r="B15" s="379" t="s">
        <v>162</v>
      </c>
      <c r="C15" s="378">
        <v>1764257789.5636375</v>
      </c>
      <c r="E15" s="340"/>
      <c r="G15" s="380" t="s">
        <v>73</v>
      </c>
      <c r="H15" s="381">
        <f>+H14+1</f>
        <v>2026</v>
      </c>
      <c r="I15" s="382">
        <f t="shared" ref="I15:I32" si="5">ROUND(I$2*$C15,2)</f>
        <v>12349.8</v>
      </c>
      <c r="J15" s="382">
        <f t="shared" si="2"/>
        <v>3466766.56</v>
      </c>
      <c r="K15" s="382">
        <f t="shared" si="2"/>
        <v>448121.48</v>
      </c>
      <c r="L15" s="382">
        <f t="shared" si="2"/>
        <v>0</v>
      </c>
      <c r="M15" s="382">
        <f t="shared" si="3"/>
        <v>3927237.84</v>
      </c>
      <c r="N15" s="382">
        <f t="shared" si="0"/>
        <v>1638995.49</v>
      </c>
      <c r="O15" s="382">
        <f t="shared" ref="O15:O32" si="6">ROUND(O$2*$C15,2)</f>
        <v>2258249.9700000002</v>
      </c>
      <c r="P15" s="382">
        <f t="shared" ref="P15:P32" si="7">+M15+N15+O15</f>
        <v>7824483.3000000007</v>
      </c>
      <c r="T15" s="70"/>
      <c r="U15" s="538"/>
    </row>
    <row r="16" spans="1:21" x14ac:dyDescent="0.25">
      <c r="A16" s="379" t="s">
        <v>99</v>
      </c>
      <c r="B16" s="379" t="s">
        <v>163</v>
      </c>
      <c r="C16" s="378">
        <v>1521527292.1889496</v>
      </c>
      <c r="E16" s="340"/>
      <c r="G16" s="383" t="s">
        <v>74</v>
      </c>
      <c r="H16" s="381">
        <f>+H15</f>
        <v>2026</v>
      </c>
      <c r="I16" s="382">
        <f t="shared" si="5"/>
        <v>10650.69</v>
      </c>
      <c r="J16" s="382">
        <f t="shared" si="2"/>
        <v>2989801.13</v>
      </c>
      <c r="K16" s="382">
        <f t="shared" si="2"/>
        <v>386467.93</v>
      </c>
      <c r="L16" s="382">
        <f t="shared" si="2"/>
        <v>0</v>
      </c>
      <c r="M16" s="382">
        <f t="shared" si="3"/>
        <v>3386919.75</v>
      </c>
      <c r="N16" s="382">
        <f t="shared" si="0"/>
        <v>1413498.85</v>
      </c>
      <c r="O16" s="382">
        <f t="shared" si="6"/>
        <v>1947554.93</v>
      </c>
      <c r="P16" s="382">
        <f t="shared" si="7"/>
        <v>6747973.5299999993</v>
      </c>
      <c r="T16" s="70"/>
      <c r="U16" s="538"/>
    </row>
    <row r="17" spans="1:21" x14ac:dyDescent="0.25">
      <c r="A17" s="379" t="s">
        <v>99</v>
      </c>
      <c r="B17" s="379" t="s">
        <v>164</v>
      </c>
      <c r="C17" s="378">
        <v>1509279565.3064404</v>
      </c>
      <c r="E17" s="340"/>
      <c r="G17" s="383" t="s">
        <v>75</v>
      </c>
      <c r="H17" s="381">
        <f>+H16</f>
        <v>2026</v>
      </c>
      <c r="I17" s="382">
        <f t="shared" si="5"/>
        <v>10564.96</v>
      </c>
      <c r="J17" s="382">
        <f t="shared" si="2"/>
        <v>2965734.35</v>
      </c>
      <c r="K17" s="382">
        <f t="shared" si="2"/>
        <v>383357.01</v>
      </c>
      <c r="L17" s="382">
        <f t="shared" si="2"/>
        <v>0</v>
      </c>
      <c r="M17" s="382">
        <f t="shared" si="3"/>
        <v>3359656.3200000003</v>
      </c>
      <c r="N17" s="382">
        <f t="shared" si="0"/>
        <v>1402120.72</v>
      </c>
      <c r="O17" s="382">
        <f t="shared" si="6"/>
        <v>1931877.84</v>
      </c>
      <c r="P17" s="382">
        <f t="shared" si="7"/>
        <v>6693654.8799999999</v>
      </c>
      <c r="T17" s="70"/>
      <c r="U17" s="538"/>
    </row>
    <row r="18" spans="1:21" x14ac:dyDescent="0.25">
      <c r="A18" s="379" t="s">
        <v>99</v>
      </c>
      <c r="B18" s="379" t="s">
        <v>165</v>
      </c>
      <c r="C18" s="378">
        <v>1301687815.08582</v>
      </c>
      <c r="E18" s="340"/>
      <c r="G18" s="383" t="s">
        <v>76</v>
      </c>
      <c r="H18" s="381">
        <f>+H17</f>
        <v>2026</v>
      </c>
      <c r="I18" s="382">
        <f t="shared" si="5"/>
        <v>9111.81</v>
      </c>
      <c r="J18" s="382">
        <f t="shared" si="2"/>
        <v>2557816.56</v>
      </c>
      <c r="K18" s="382">
        <f t="shared" si="2"/>
        <v>330628.71000000002</v>
      </c>
      <c r="L18" s="382">
        <f t="shared" si="2"/>
        <v>0</v>
      </c>
      <c r="M18" s="382">
        <f t="shared" si="3"/>
        <v>2897557.08</v>
      </c>
      <c r="N18" s="382">
        <f t="shared" si="0"/>
        <v>1209267.98</v>
      </c>
      <c r="O18" s="382">
        <f t="shared" si="6"/>
        <v>1666160.4</v>
      </c>
      <c r="P18" s="382">
        <f t="shared" si="7"/>
        <v>5772985.46</v>
      </c>
      <c r="T18" s="70"/>
      <c r="U18" s="538"/>
    </row>
    <row r="19" spans="1:21" x14ac:dyDescent="0.25">
      <c r="A19" s="379" t="s">
        <v>99</v>
      </c>
      <c r="B19" s="379" t="s">
        <v>166</v>
      </c>
      <c r="C19" s="378">
        <v>1429604801.3524609</v>
      </c>
      <c r="E19" s="340"/>
      <c r="G19" s="383" t="s">
        <v>77</v>
      </c>
      <c r="H19" s="381">
        <f>+H18</f>
        <v>2026</v>
      </c>
      <c r="I19" s="382">
        <f t="shared" si="5"/>
        <v>10007.23</v>
      </c>
      <c r="J19" s="382">
        <f t="shared" si="2"/>
        <v>2809173.43</v>
      </c>
      <c r="K19" s="382">
        <f t="shared" si="2"/>
        <v>363119.62</v>
      </c>
      <c r="L19" s="382">
        <f t="shared" si="2"/>
        <v>0</v>
      </c>
      <c r="M19" s="382">
        <f t="shared" si="3"/>
        <v>3182300.2800000003</v>
      </c>
      <c r="N19" s="382">
        <f t="shared" si="0"/>
        <v>1328102.8600000001</v>
      </c>
      <c r="O19" s="382">
        <f t="shared" si="6"/>
        <v>1829894.15</v>
      </c>
      <c r="P19" s="382">
        <f t="shared" si="7"/>
        <v>6340297.290000001</v>
      </c>
      <c r="T19" s="70"/>
      <c r="U19" s="538"/>
    </row>
    <row r="20" spans="1:21" x14ac:dyDescent="0.25">
      <c r="A20" s="379" t="s">
        <v>99</v>
      </c>
      <c r="B20" s="379" t="s">
        <v>167</v>
      </c>
      <c r="C20" s="378">
        <v>1739252991.7524381</v>
      </c>
      <c r="D20" s="341">
        <f>SUM(C15:C20)</f>
        <v>9265610255.2497463</v>
      </c>
      <c r="E20" s="340"/>
      <c r="G20" s="384" t="s">
        <v>78</v>
      </c>
      <c r="H20" s="385">
        <f>+H19</f>
        <v>2026</v>
      </c>
      <c r="I20" s="382">
        <f t="shared" si="5"/>
        <v>12174.77</v>
      </c>
      <c r="J20" s="382">
        <f t="shared" si="2"/>
        <v>3417632.13</v>
      </c>
      <c r="K20" s="382">
        <f t="shared" si="2"/>
        <v>441770.26</v>
      </c>
      <c r="L20" s="382">
        <f t="shared" si="2"/>
        <v>0</v>
      </c>
      <c r="M20" s="382">
        <f t="shared" si="3"/>
        <v>3871577.16</v>
      </c>
      <c r="N20" s="382">
        <f t="shared" si="0"/>
        <v>1615766.03</v>
      </c>
      <c r="O20" s="382">
        <f t="shared" si="6"/>
        <v>2226243.83</v>
      </c>
      <c r="P20" s="382">
        <f t="shared" si="7"/>
        <v>7713587.0200000005</v>
      </c>
      <c r="T20" s="70"/>
      <c r="U20" s="538"/>
    </row>
    <row r="21" spans="1:21" x14ac:dyDescent="0.25">
      <c r="A21" s="379" t="s">
        <v>99</v>
      </c>
      <c r="B21" s="379" t="s">
        <v>168</v>
      </c>
      <c r="C21" s="378">
        <v>2186517425.8529067</v>
      </c>
      <c r="E21" s="564">
        <f>+C21</f>
        <v>2186517425.8529067</v>
      </c>
      <c r="F21" s="70"/>
      <c r="G21" s="383" t="s">
        <v>724</v>
      </c>
      <c r="H21" s="386">
        <v>2026</v>
      </c>
      <c r="I21" s="382">
        <f t="shared" si="5"/>
        <v>15305.62</v>
      </c>
      <c r="J21" s="382">
        <f t="shared" si="2"/>
        <v>4296506.74</v>
      </c>
      <c r="K21" s="382">
        <f t="shared" si="2"/>
        <v>555375.43000000005</v>
      </c>
      <c r="L21" s="382">
        <f t="shared" si="2"/>
        <v>0</v>
      </c>
      <c r="M21" s="382">
        <f t="shared" si="3"/>
        <v>4867187.79</v>
      </c>
      <c r="N21" s="382">
        <f t="shared" si="0"/>
        <v>2031274.69</v>
      </c>
      <c r="O21" s="382">
        <f t="shared" si="6"/>
        <v>2798742.31</v>
      </c>
      <c r="P21" s="382">
        <f t="shared" si="7"/>
        <v>9697204.790000001</v>
      </c>
      <c r="T21" s="70"/>
      <c r="U21" s="538"/>
    </row>
    <row r="22" spans="1:21" x14ac:dyDescent="0.25">
      <c r="A22" s="379" t="s">
        <v>99</v>
      </c>
      <c r="B22" s="379" t="s">
        <v>169</v>
      </c>
      <c r="C22" s="378">
        <v>2081632675.0373204</v>
      </c>
      <c r="E22" s="564">
        <f t="shared" ref="E22:E31" si="8">+C22</f>
        <v>2081632675.0373204</v>
      </c>
      <c r="F22" s="70"/>
      <c r="G22" s="383" t="s">
        <v>80</v>
      </c>
      <c r="H22" s="386">
        <v>2026</v>
      </c>
      <c r="I22" s="382">
        <f t="shared" si="5"/>
        <v>14571.43</v>
      </c>
      <c r="J22" s="382">
        <f t="shared" ref="J22:J32" si="9">ROUND(J$2*$C22,2)</f>
        <v>4090408.21</v>
      </c>
      <c r="K22" s="382">
        <f t="shared" ref="K22:K32" si="10">ROUND(K$2*$C22,2)</f>
        <v>528734.69999999995</v>
      </c>
      <c r="L22" s="382">
        <f t="shared" ref="L22:L32" si="11">ROUND(L$2*$C22,2)</f>
        <v>0</v>
      </c>
      <c r="M22" s="382">
        <f t="shared" si="3"/>
        <v>4633714.34</v>
      </c>
      <c r="N22" s="382">
        <f t="shared" ref="N22:N32" si="12">ROUND(N$2*$C22,2)</f>
        <v>1933836.76</v>
      </c>
      <c r="O22" s="382">
        <f t="shared" si="6"/>
        <v>2664489.8199999998</v>
      </c>
      <c r="P22" s="382">
        <f t="shared" si="7"/>
        <v>9232040.9199999999</v>
      </c>
      <c r="T22" s="70"/>
      <c r="U22" s="538"/>
    </row>
    <row r="23" spans="1:21" x14ac:dyDescent="0.25">
      <c r="A23" s="379" t="s">
        <v>99</v>
      </c>
      <c r="B23" s="379" t="s">
        <v>170</v>
      </c>
      <c r="C23" s="378">
        <v>1603779179.2175443</v>
      </c>
      <c r="E23" s="564">
        <f t="shared" si="8"/>
        <v>1603779179.2175443</v>
      </c>
      <c r="F23" s="70"/>
      <c r="G23" s="383" t="s">
        <v>725</v>
      </c>
      <c r="H23" s="386">
        <v>2026</v>
      </c>
      <c r="I23" s="382">
        <f t="shared" si="5"/>
        <v>11226.45</v>
      </c>
      <c r="J23" s="382">
        <f t="shared" si="9"/>
        <v>3151426.09</v>
      </c>
      <c r="K23" s="382">
        <f t="shared" si="10"/>
        <v>407359.91</v>
      </c>
      <c r="L23" s="382">
        <f t="shared" si="11"/>
        <v>0</v>
      </c>
      <c r="M23" s="382">
        <f t="shared" si="3"/>
        <v>3570012.45</v>
      </c>
      <c r="N23" s="382">
        <f t="shared" si="12"/>
        <v>1489910.86</v>
      </c>
      <c r="O23" s="382">
        <f t="shared" si="6"/>
        <v>2052837.35</v>
      </c>
      <c r="P23" s="382">
        <f t="shared" si="7"/>
        <v>7112760.6600000001</v>
      </c>
      <c r="T23" s="70"/>
      <c r="U23" s="538"/>
    </row>
    <row r="24" spans="1:21" x14ac:dyDescent="0.25">
      <c r="A24" s="379" t="s">
        <v>99</v>
      </c>
      <c r="B24" s="379" t="s">
        <v>171</v>
      </c>
      <c r="C24" s="378">
        <v>1375538752.2542086</v>
      </c>
      <c r="E24" s="564">
        <f t="shared" si="8"/>
        <v>1375538752.2542086</v>
      </c>
      <c r="F24" s="70"/>
      <c r="G24" s="383" t="s">
        <v>82</v>
      </c>
      <c r="H24" s="386">
        <v>2026</v>
      </c>
      <c r="I24" s="382">
        <f t="shared" si="5"/>
        <v>9628.77</v>
      </c>
      <c r="J24" s="382">
        <f t="shared" si="9"/>
        <v>2702933.65</v>
      </c>
      <c r="K24" s="382">
        <f t="shared" si="10"/>
        <v>349386.84</v>
      </c>
      <c r="L24" s="382">
        <f t="shared" si="11"/>
        <v>0</v>
      </c>
      <c r="M24" s="382">
        <f t="shared" si="3"/>
        <v>3061949.26</v>
      </c>
      <c r="N24" s="382">
        <f t="shared" si="12"/>
        <v>1277875.5</v>
      </c>
      <c r="O24" s="382">
        <f t="shared" si="6"/>
        <v>1760689.6</v>
      </c>
      <c r="P24" s="382">
        <f t="shared" si="7"/>
        <v>6100514.3599999994</v>
      </c>
      <c r="T24" s="70"/>
      <c r="U24" s="538"/>
    </row>
    <row r="25" spans="1:21" x14ac:dyDescent="0.25">
      <c r="A25" s="379" t="s">
        <v>99</v>
      </c>
      <c r="B25" s="379" t="s">
        <v>172</v>
      </c>
      <c r="C25" s="378">
        <v>1431273170.1340044</v>
      </c>
      <c r="E25" s="564">
        <f t="shared" si="8"/>
        <v>1431273170.1340044</v>
      </c>
      <c r="F25" s="70"/>
      <c r="G25" s="383" t="s">
        <v>83</v>
      </c>
      <c r="H25" s="386">
        <v>2026</v>
      </c>
      <c r="I25" s="382">
        <f t="shared" si="5"/>
        <v>10018.91</v>
      </c>
      <c r="J25" s="382">
        <f t="shared" si="9"/>
        <v>2812451.78</v>
      </c>
      <c r="K25" s="382">
        <f t="shared" si="10"/>
        <v>363543.39</v>
      </c>
      <c r="L25" s="382">
        <f t="shared" si="11"/>
        <v>0</v>
      </c>
      <c r="M25" s="382">
        <f t="shared" si="3"/>
        <v>3186014.08</v>
      </c>
      <c r="N25" s="382">
        <f t="shared" si="12"/>
        <v>1329652.78</v>
      </c>
      <c r="O25" s="382">
        <f t="shared" si="6"/>
        <v>1832029.66</v>
      </c>
      <c r="P25" s="382">
        <f t="shared" si="7"/>
        <v>6347696.5200000005</v>
      </c>
      <c r="T25" s="70"/>
      <c r="U25" s="538"/>
    </row>
    <row r="26" spans="1:21" x14ac:dyDescent="0.25">
      <c r="A26" s="379" t="s">
        <v>99</v>
      </c>
      <c r="B26" s="379" t="s">
        <v>173</v>
      </c>
      <c r="C26" s="378">
        <v>1679096950.6602523</v>
      </c>
      <c r="E26" s="564">
        <f t="shared" si="8"/>
        <v>1679096950.6602523</v>
      </c>
      <c r="F26" s="70"/>
      <c r="G26" s="383" t="s">
        <v>84</v>
      </c>
      <c r="H26" s="386">
        <v>2026</v>
      </c>
      <c r="I26" s="382">
        <f t="shared" si="5"/>
        <v>11753.68</v>
      </c>
      <c r="J26" s="382">
        <f t="shared" si="9"/>
        <v>3299425.51</v>
      </c>
      <c r="K26" s="382">
        <f t="shared" si="10"/>
        <v>426490.63</v>
      </c>
      <c r="L26" s="382">
        <f t="shared" si="11"/>
        <v>0</v>
      </c>
      <c r="M26" s="382">
        <f t="shared" si="3"/>
        <v>3737669.82</v>
      </c>
      <c r="N26" s="382">
        <f t="shared" si="12"/>
        <v>1559881.07</v>
      </c>
      <c r="O26" s="382">
        <f t="shared" si="6"/>
        <v>2149244.1</v>
      </c>
      <c r="P26" s="382">
        <f t="shared" si="7"/>
        <v>7446794.9900000002</v>
      </c>
      <c r="T26" s="70"/>
      <c r="U26" s="538"/>
    </row>
    <row r="27" spans="1:21" x14ac:dyDescent="0.25">
      <c r="A27" s="379" t="s">
        <v>99</v>
      </c>
      <c r="B27" s="379" t="s">
        <v>174</v>
      </c>
      <c r="C27" s="378">
        <v>1761522620.3663082</v>
      </c>
      <c r="E27" s="564">
        <f t="shared" si="8"/>
        <v>1761522620.3663082</v>
      </c>
      <c r="F27" s="70"/>
      <c r="G27" s="380" t="s">
        <v>73</v>
      </c>
      <c r="H27" s="386">
        <v>2026</v>
      </c>
      <c r="I27" s="382">
        <f t="shared" si="5"/>
        <v>12330.66</v>
      </c>
      <c r="J27" s="382">
        <f t="shared" si="9"/>
        <v>3461391.95</v>
      </c>
      <c r="K27" s="382">
        <f t="shared" si="10"/>
        <v>447426.75</v>
      </c>
      <c r="L27" s="382">
        <f t="shared" si="11"/>
        <v>0</v>
      </c>
      <c r="M27" s="382">
        <f t="shared" si="3"/>
        <v>3921149.3600000003</v>
      </c>
      <c r="N27" s="382">
        <f t="shared" si="12"/>
        <v>1636454.51</v>
      </c>
      <c r="O27" s="382">
        <f t="shared" si="6"/>
        <v>2254748.9500000002</v>
      </c>
      <c r="P27" s="382">
        <f t="shared" si="7"/>
        <v>7812352.8200000003</v>
      </c>
    </row>
    <row r="28" spans="1:21" x14ac:dyDescent="0.25">
      <c r="A28" s="379" t="s">
        <v>99</v>
      </c>
      <c r="B28" s="379" t="s">
        <v>175</v>
      </c>
      <c r="C28" s="378">
        <v>1517184580.4869277</v>
      </c>
      <c r="E28" s="564">
        <f t="shared" si="8"/>
        <v>1517184580.4869277</v>
      </c>
      <c r="F28" s="70"/>
      <c r="G28" s="383" t="s">
        <v>74</v>
      </c>
      <c r="H28" s="386">
        <v>2027</v>
      </c>
      <c r="I28" s="382">
        <f t="shared" si="5"/>
        <v>10620.29</v>
      </c>
      <c r="J28" s="382">
        <f t="shared" si="9"/>
        <v>2981267.7</v>
      </c>
      <c r="K28" s="382">
        <f t="shared" si="10"/>
        <v>385364.88</v>
      </c>
      <c r="L28" s="382">
        <f t="shared" si="11"/>
        <v>0</v>
      </c>
      <c r="M28" s="382">
        <f t="shared" si="3"/>
        <v>3377252.87</v>
      </c>
      <c r="N28" s="382">
        <f t="shared" si="12"/>
        <v>1409464.48</v>
      </c>
      <c r="O28" s="382">
        <f t="shared" si="6"/>
        <v>1941996.26</v>
      </c>
      <c r="P28" s="382">
        <f t="shared" si="7"/>
        <v>6728713.6099999994</v>
      </c>
    </row>
    <row r="29" spans="1:21" x14ac:dyDescent="0.25">
      <c r="A29" s="379" t="s">
        <v>99</v>
      </c>
      <c r="B29" s="379" t="s">
        <v>176</v>
      </c>
      <c r="C29" s="378">
        <v>1503428908.107728</v>
      </c>
      <c r="E29" s="564">
        <f t="shared" si="8"/>
        <v>1503428908.107728</v>
      </c>
      <c r="F29" s="70"/>
      <c r="G29" s="383" t="s">
        <v>75</v>
      </c>
      <c r="H29" s="386">
        <v>2027</v>
      </c>
      <c r="I29" s="382">
        <f t="shared" si="5"/>
        <v>10524</v>
      </c>
      <c r="J29" s="382">
        <f t="shared" si="9"/>
        <v>2954237.8</v>
      </c>
      <c r="K29" s="382">
        <f t="shared" si="10"/>
        <v>381870.94</v>
      </c>
      <c r="L29" s="382">
        <f t="shared" si="11"/>
        <v>0</v>
      </c>
      <c r="M29" s="382">
        <f t="shared" si="3"/>
        <v>3346632.7399999998</v>
      </c>
      <c r="N29" s="382">
        <f t="shared" si="12"/>
        <v>1396685.46</v>
      </c>
      <c r="O29" s="382">
        <f t="shared" si="6"/>
        <v>1924389</v>
      </c>
      <c r="P29" s="382">
        <f t="shared" si="7"/>
        <v>6667707.1999999993</v>
      </c>
    </row>
    <row r="30" spans="1:21" x14ac:dyDescent="0.25">
      <c r="A30" s="379" t="s">
        <v>99</v>
      </c>
      <c r="B30" s="379" t="s">
        <v>177</v>
      </c>
      <c r="C30" s="378">
        <v>1294001100.9668097</v>
      </c>
      <c r="E30" s="564">
        <f t="shared" si="8"/>
        <v>1294001100.9668097</v>
      </c>
      <c r="F30" s="70"/>
      <c r="G30" s="383" t="s">
        <v>76</v>
      </c>
      <c r="H30" s="386">
        <v>2027</v>
      </c>
      <c r="I30" s="382">
        <f t="shared" si="5"/>
        <v>9058.01</v>
      </c>
      <c r="J30" s="382">
        <f t="shared" si="9"/>
        <v>2542712.16</v>
      </c>
      <c r="K30" s="382">
        <f t="shared" si="10"/>
        <v>328676.28000000003</v>
      </c>
      <c r="L30" s="382">
        <f t="shared" si="11"/>
        <v>0</v>
      </c>
      <c r="M30" s="382">
        <f t="shared" si="3"/>
        <v>2880446.45</v>
      </c>
      <c r="N30" s="382">
        <f t="shared" si="12"/>
        <v>1202127.02</v>
      </c>
      <c r="O30" s="382">
        <f t="shared" si="6"/>
        <v>1656321.41</v>
      </c>
      <c r="P30" s="382">
        <f t="shared" si="7"/>
        <v>5738894.8799999999</v>
      </c>
    </row>
    <row r="31" spans="1:21" x14ac:dyDescent="0.25">
      <c r="A31" s="379" t="s">
        <v>99</v>
      </c>
      <c r="B31" s="379" t="s">
        <v>178</v>
      </c>
      <c r="C31" s="378">
        <v>1423203482.2493062</v>
      </c>
      <c r="E31" s="564">
        <f t="shared" si="8"/>
        <v>1423203482.2493062</v>
      </c>
      <c r="F31" s="70"/>
      <c r="G31" s="383" t="s">
        <v>77</v>
      </c>
      <c r="H31" s="386">
        <v>2027</v>
      </c>
      <c r="I31" s="382">
        <f t="shared" si="5"/>
        <v>9962.42</v>
      </c>
      <c r="J31" s="382">
        <f t="shared" si="9"/>
        <v>2796594.84</v>
      </c>
      <c r="K31" s="382">
        <f t="shared" si="10"/>
        <v>361493.68</v>
      </c>
      <c r="L31" s="382">
        <f t="shared" si="11"/>
        <v>0</v>
      </c>
      <c r="M31" s="382">
        <f t="shared" si="3"/>
        <v>3168050.94</v>
      </c>
      <c r="N31" s="382">
        <f t="shared" si="12"/>
        <v>1322156.04</v>
      </c>
      <c r="O31" s="382">
        <f t="shared" si="6"/>
        <v>1821700.46</v>
      </c>
      <c r="P31" s="382">
        <f t="shared" si="7"/>
        <v>6311907.4400000004</v>
      </c>
    </row>
    <row r="32" spans="1:21" ht="15.75" thickBot="1" x14ac:dyDescent="0.3">
      <c r="A32" s="379" t="s">
        <v>99</v>
      </c>
      <c r="B32" s="379" t="s">
        <v>179</v>
      </c>
      <c r="C32" s="387">
        <v>1736921175.191072</v>
      </c>
      <c r="E32" s="564">
        <f>+C32</f>
        <v>1736921175.191072</v>
      </c>
      <c r="F32" s="70"/>
      <c r="G32" s="384" t="s">
        <v>78</v>
      </c>
      <c r="H32" s="386">
        <v>2027</v>
      </c>
      <c r="I32" s="382">
        <f t="shared" si="5"/>
        <v>12158.45</v>
      </c>
      <c r="J32" s="382">
        <f t="shared" si="9"/>
        <v>3413050.11</v>
      </c>
      <c r="K32" s="382">
        <f t="shared" si="10"/>
        <v>441177.98</v>
      </c>
      <c r="L32" s="382">
        <f t="shared" si="11"/>
        <v>0</v>
      </c>
      <c r="M32" s="382">
        <f t="shared" si="3"/>
        <v>3866386.54</v>
      </c>
      <c r="N32" s="382">
        <f t="shared" si="12"/>
        <v>1613599.77</v>
      </c>
      <c r="O32" s="382">
        <f t="shared" si="6"/>
        <v>2223259.1</v>
      </c>
      <c r="P32" s="382">
        <f t="shared" si="7"/>
        <v>7703245.4100000001</v>
      </c>
    </row>
    <row r="33" spans="1:16" ht="15.75" thickBot="1" x14ac:dyDescent="0.3">
      <c r="A33" s="379" t="s">
        <v>99</v>
      </c>
      <c r="B33" s="379" t="s">
        <v>180</v>
      </c>
      <c r="C33" s="378">
        <v>2190287532.9042401</v>
      </c>
      <c r="E33" s="388">
        <f>SUM(E21:E32)</f>
        <v>19594100020.524387</v>
      </c>
      <c r="F33" s="70"/>
      <c r="G33" s="343" t="s">
        <v>726</v>
      </c>
      <c r="H33" s="343"/>
      <c r="I33" s="344">
        <f t="shared" ref="I33:P33" si="13">SUM(I3:I32)</f>
        <v>339078.90999999992</v>
      </c>
      <c r="J33" s="344">
        <f t="shared" si="13"/>
        <v>95184296.370000035</v>
      </c>
      <c r="K33" s="344">
        <f t="shared" si="13"/>
        <v>12303720.76</v>
      </c>
      <c r="L33" s="344">
        <f t="shared" si="13"/>
        <v>0</v>
      </c>
      <c r="M33" s="344">
        <f t="shared" si="13"/>
        <v>107827096.04000002</v>
      </c>
      <c r="N33" s="344">
        <f t="shared" si="13"/>
        <v>45000616.490000002</v>
      </c>
      <c r="O33" s="344">
        <f t="shared" si="13"/>
        <v>62003002.199999996</v>
      </c>
      <c r="P33" s="344">
        <f t="shared" si="13"/>
        <v>214830714.72999993</v>
      </c>
    </row>
    <row r="34" spans="1:16" ht="15.75" thickTop="1" x14ac:dyDescent="0.25">
      <c r="A34" s="379" t="s">
        <v>99</v>
      </c>
      <c r="B34" s="379" t="s">
        <v>181</v>
      </c>
      <c r="C34" s="378">
        <v>2082972584.1219673</v>
      </c>
      <c r="M34" s="345">
        <f>SUM(I33:L33)-M33</f>
        <v>0</v>
      </c>
      <c r="P34" s="345"/>
    </row>
    <row r="35" spans="1:16" x14ac:dyDescent="0.25">
      <c r="A35" s="379" t="s">
        <v>99</v>
      </c>
      <c r="B35" s="379" t="s">
        <v>182</v>
      </c>
      <c r="C35" s="378">
        <v>1602406094.8977842</v>
      </c>
      <c r="O35" s="14"/>
    </row>
    <row r="36" spans="1:16" x14ac:dyDescent="0.25">
      <c r="A36" s="379" t="s">
        <v>99</v>
      </c>
      <c r="B36" s="379" t="s">
        <v>183</v>
      </c>
      <c r="C36" s="378">
        <v>1367395207.1617274</v>
      </c>
    </row>
    <row r="37" spans="1:16" x14ac:dyDescent="0.25">
      <c r="A37" s="379" t="s">
        <v>99</v>
      </c>
      <c r="B37" s="379" t="s">
        <v>184</v>
      </c>
      <c r="C37" s="378">
        <v>1425700810.9718547</v>
      </c>
    </row>
    <row r="38" spans="1:16" x14ac:dyDescent="0.25">
      <c r="A38" s="379" t="s">
        <v>99</v>
      </c>
      <c r="B38" s="379" t="s">
        <v>185</v>
      </c>
      <c r="C38" s="378">
        <v>1676435209.0599592</v>
      </c>
    </row>
    <row r="39" spans="1:16" x14ac:dyDescent="0.25">
      <c r="A39" s="342" t="s">
        <v>99</v>
      </c>
      <c r="B39" s="342" t="s">
        <v>186</v>
      </c>
      <c r="C39" s="340">
        <v>1731684228.5258076</v>
      </c>
    </row>
    <row r="40" spans="1:16" x14ac:dyDescent="0.25">
      <c r="A40" s="342" t="s">
        <v>99</v>
      </c>
      <c r="B40" s="342" t="s">
        <v>187</v>
      </c>
      <c r="C40" s="340">
        <v>1544451926.4744208</v>
      </c>
    </row>
    <row r="41" spans="1:16" x14ac:dyDescent="0.25">
      <c r="A41" s="342" t="s">
        <v>99</v>
      </c>
      <c r="B41" s="342" t="s">
        <v>188</v>
      </c>
      <c r="C41" s="340">
        <v>1493244288.0973742</v>
      </c>
    </row>
    <row r="42" spans="1:16" x14ac:dyDescent="0.25">
      <c r="A42" s="342" t="s">
        <v>99</v>
      </c>
      <c r="B42" s="342" t="s">
        <v>189</v>
      </c>
      <c r="C42" s="340">
        <v>1296237771.7805259</v>
      </c>
    </row>
    <row r="43" spans="1:16" x14ac:dyDescent="0.25">
      <c r="A43" s="342" t="s">
        <v>99</v>
      </c>
      <c r="B43" s="342" t="s">
        <v>190</v>
      </c>
      <c r="C43" s="340">
        <v>1391660955.4727695</v>
      </c>
    </row>
    <row r="44" spans="1:16" x14ac:dyDescent="0.25">
      <c r="A44" s="342" t="s">
        <v>99</v>
      </c>
      <c r="B44" s="342" t="s">
        <v>191</v>
      </c>
      <c r="C44" s="340">
        <v>1721576792.4800766</v>
      </c>
    </row>
    <row r="45" spans="1:16" x14ac:dyDescent="0.25">
      <c r="A45" s="342" t="s">
        <v>99</v>
      </c>
      <c r="B45" s="342" t="s">
        <v>192</v>
      </c>
      <c r="C45" s="340">
        <v>2128854491.9915712</v>
      </c>
    </row>
    <row r="46" spans="1:16" x14ac:dyDescent="0.25">
      <c r="A46" s="342" t="s">
        <v>99</v>
      </c>
      <c r="B46" s="342" t="s">
        <v>193</v>
      </c>
      <c r="C46" s="340">
        <v>2029717911.3819511</v>
      </c>
    </row>
    <row r="47" spans="1:16" x14ac:dyDescent="0.25">
      <c r="A47" s="342" t="s">
        <v>99</v>
      </c>
      <c r="B47" s="342" t="s">
        <v>194</v>
      </c>
      <c r="C47" s="340">
        <v>1572672012.6670439</v>
      </c>
    </row>
    <row r="48" spans="1:16" x14ac:dyDescent="0.25">
      <c r="A48" s="342" t="s">
        <v>99</v>
      </c>
      <c r="B48" s="342" t="s">
        <v>195</v>
      </c>
      <c r="C48" s="340">
        <v>1367188817.6749353</v>
      </c>
    </row>
    <row r="49" spans="1:3" x14ac:dyDescent="0.25">
      <c r="A49" s="342" t="s">
        <v>99</v>
      </c>
      <c r="B49" s="342" t="s">
        <v>196</v>
      </c>
      <c r="C49" s="340">
        <v>1422276124.9057708</v>
      </c>
    </row>
    <row r="50" spans="1:3" x14ac:dyDescent="0.25">
      <c r="A50" s="342" t="s">
        <v>99</v>
      </c>
      <c r="B50" s="342" t="s">
        <v>197</v>
      </c>
      <c r="C50" s="340">
        <v>1665885694.6734455</v>
      </c>
    </row>
    <row r="51" spans="1:3" x14ac:dyDescent="0.25">
      <c r="A51" s="342" t="s">
        <v>99</v>
      </c>
      <c r="B51" s="342" t="s">
        <v>198</v>
      </c>
      <c r="C51" s="340">
        <v>1774906558.0651729</v>
      </c>
    </row>
    <row r="52" spans="1:3" x14ac:dyDescent="0.25">
      <c r="A52" s="342" t="s">
        <v>99</v>
      </c>
      <c r="B52" s="342" t="s">
        <v>199</v>
      </c>
      <c r="C52" s="340">
        <v>1524127606.2846549</v>
      </c>
    </row>
    <row r="53" spans="1:3" x14ac:dyDescent="0.25">
      <c r="A53" s="342" t="s">
        <v>99</v>
      </c>
      <c r="B53" s="342" t="s">
        <v>200</v>
      </c>
      <c r="C53" s="340">
        <v>1507141228.0984857</v>
      </c>
    </row>
    <row r="54" spans="1:3" x14ac:dyDescent="0.25">
      <c r="A54" s="342" t="s">
        <v>99</v>
      </c>
      <c r="B54" s="342" t="s">
        <v>201</v>
      </c>
      <c r="C54" s="340">
        <v>1291355180.2148926</v>
      </c>
    </row>
    <row r="55" spans="1:3" x14ac:dyDescent="0.25">
      <c r="A55" s="342" t="s">
        <v>99</v>
      </c>
      <c r="B55" s="342" t="s">
        <v>202</v>
      </c>
      <c r="C55" s="340">
        <v>1424809123.9136975</v>
      </c>
    </row>
    <row r="56" spans="1:3" x14ac:dyDescent="0.25">
      <c r="A56" s="342" t="s">
        <v>99</v>
      </c>
      <c r="B56" s="342" t="s">
        <v>203</v>
      </c>
      <c r="C56" s="340">
        <v>1751080197.1603799</v>
      </c>
    </row>
    <row r="57" spans="1:3" x14ac:dyDescent="0.25">
      <c r="A57" s="342" t="s">
        <v>99</v>
      </c>
      <c r="B57" s="342" t="s">
        <v>204</v>
      </c>
      <c r="C57" s="340">
        <v>2223118076.0476394</v>
      </c>
    </row>
    <row r="58" spans="1:3" x14ac:dyDescent="0.25">
      <c r="A58" s="342" t="s">
        <v>99</v>
      </c>
      <c r="B58" s="342" t="s">
        <v>205</v>
      </c>
      <c r="C58" s="340">
        <v>2109204391.4887903</v>
      </c>
    </row>
    <row r="59" spans="1:3" x14ac:dyDescent="0.25">
      <c r="A59" s="342" t="s">
        <v>99</v>
      </c>
      <c r="B59" s="342" t="s">
        <v>206</v>
      </c>
      <c r="C59" s="340">
        <v>1617806910.2931862</v>
      </c>
    </row>
    <row r="60" spans="1:3" x14ac:dyDescent="0.25">
      <c r="A60" s="342" t="s">
        <v>99</v>
      </c>
      <c r="B60" s="342" t="s">
        <v>207</v>
      </c>
      <c r="C60" s="340">
        <v>1364195587.8960187</v>
      </c>
    </row>
    <row r="61" spans="1:3" x14ac:dyDescent="0.25">
      <c r="A61" s="342" t="s">
        <v>99</v>
      </c>
      <c r="B61" s="342" t="s">
        <v>208</v>
      </c>
      <c r="C61" s="340">
        <v>1429181406.4911618</v>
      </c>
    </row>
    <row r="62" spans="1:3" x14ac:dyDescent="0.25">
      <c r="A62" s="342" t="s">
        <v>99</v>
      </c>
      <c r="B62" s="342" t="s">
        <v>209</v>
      </c>
      <c r="C62" s="340">
        <v>1689183166.4429762</v>
      </c>
    </row>
    <row r="63" spans="1:3" x14ac:dyDescent="0.25">
      <c r="A63" s="342" t="s">
        <v>99</v>
      </c>
      <c r="B63" s="342" t="s">
        <v>210</v>
      </c>
      <c r="C63" s="340">
        <v>1819406808.8618355</v>
      </c>
    </row>
    <row r="64" spans="1:3" x14ac:dyDescent="0.25">
      <c r="A64" s="342" t="s">
        <v>99</v>
      </c>
      <c r="B64" s="342" t="s">
        <v>211</v>
      </c>
      <c r="C64" s="340">
        <v>1561507049.2251852</v>
      </c>
    </row>
    <row r="65" spans="1:3" x14ac:dyDescent="0.25">
      <c r="A65" s="342" t="s">
        <v>99</v>
      </c>
      <c r="B65" s="342" t="s">
        <v>212</v>
      </c>
      <c r="C65" s="340">
        <v>1542591985.9612463</v>
      </c>
    </row>
    <row r="66" spans="1:3" x14ac:dyDescent="0.25">
      <c r="A66" s="342" t="s">
        <v>99</v>
      </c>
      <c r="B66" s="342" t="s">
        <v>213</v>
      </c>
      <c r="C66" s="340">
        <v>1320148086.2388155</v>
      </c>
    </row>
    <row r="67" spans="1:3" x14ac:dyDescent="0.25">
      <c r="A67" s="342" t="s">
        <v>99</v>
      </c>
      <c r="B67" s="342" t="s">
        <v>214</v>
      </c>
      <c r="C67" s="340">
        <v>1457830427.1456468</v>
      </c>
    </row>
    <row r="68" spans="1:3" x14ac:dyDescent="0.25">
      <c r="A68" s="342" t="s">
        <v>99</v>
      </c>
      <c r="B68" s="342" t="s">
        <v>215</v>
      </c>
      <c r="C68" s="340">
        <v>1795059807.9754813</v>
      </c>
    </row>
    <row r="69" spans="1:3" x14ac:dyDescent="0.25">
      <c r="A69" s="342" t="s">
        <v>99</v>
      </c>
      <c r="B69" s="342" t="s">
        <v>216</v>
      </c>
      <c r="C69" s="340">
        <v>2283082468.0057392</v>
      </c>
    </row>
    <row r="70" spans="1:3" x14ac:dyDescent="0.25">
      <c r="A70" s="342" t="s">
        <v>99</v>
      </c>
      <c r="B70" s="342" t="s">
        <v>217</v>
      </c>
      <c r="C70" s="340">
        <v>2164480677.20714</v>
      </c>
    </row>
    <row r="71" spans="1:3" x14ac:dyDescent="0.25">
      <c r="A71" s="342" t="s">
        <v>99</v>
      </c>
      <c r="B71" s="342" t="s">
        <v>218</v>
      </c>
      <c r="C71" s="340">
        <v>1658565972.6554074</v>
      </c>
    </row>
    <row r="72" spans="1:3" x14ac:dyDescent="0.25">
      <c r="A72" s="342" t="s">
        <v>99</v>
      </c>
      <c r="B72" s="342" t="s">
        <v>219</v>
      </c>
      <c r="C72" s="340">
        <v>1394707435.398061</v>
      </c>
    </row>
    <row r="73" spans="1:3" x14ac:dyDescent="0.25">
      <c r="A73" s="342" t="s">
        <v>99</v>
      </c>
      <c r="B73" s="342" t="s">
        <v>220</v>
      </c>
      <c r="C73" s="340">
        <v>1462884507.4785652</v>
      </c>
    </row>
    <row r="74" spans="1:3" x14ac:dyDescent="0.25">
      <c r="A74" s="342" t="s">
        <v>99</v>
      </c>
      <c r="B74" s="342" t="s">
        <v>221</v>
      </c>
      <c r="C74" s="340">
        <v>1731330564.2079318</v>
      </c>
    </row>
    <row r="75" spans="1:3" x14ac:dyDescent="0.25">
      <c r="A75" s="342" t="s">
        <v>99</v>
      </c>
      <c r="B75" s="342" t="s">
        <v>222</v>
      </c>
      <c r="C75" s="340">
        <v>1865064018.21808</v>
      </c>
    </row>
    <row r="76" spans="1:3" x14ac:dyDescent="0.25">
      <c r="A76" s="342" t="s">
        <v>99</v>
      </c>
      <c r="B76" s="342" t="s">
        <v>223</v>
      </c>
      <c r="C76" s="340">
        <v>1599748352.994565</v>
      </c>
    </row>
    <row r="77" spans="1:3" x14ac:dyDescent="0.25">
      <c r="A77" s="342" t="s">
        <v>99</v>
      </c>
      <c r="B77" s="342" t="s">
        <v>224</v>
      </c>
      <c r="C77" s="340">
        <v>1579336405.8130801</v>
      </c>
    </row>
    <row r="78" spans="1:3" x14ac:dyDescent="0.25">
      <c r="A78" s="342" t="s">
        <v>99</v>
      </c>
      <c r="B78" s="342" t="s">
        <v>225</v>
      </c>
      <c r="C78" s="340">
        <v>1350288071.8934562</v>
      </c>
    </row>
    <row r="79" spans="1:3" x14ac:dyDescent="0.25">
      <c r="A79" s="342" t="s">
        <v>99</v>
      </c>
      <c r="B79" s="342" t="s">
        <v>226</v>
      </c>
      <c r="C79" s="340">
        <v>1492152740.424521</v>
      </c>
    </row>
    <row r="80" spans="1:3" x14ac:dyDescent="0.25">
      <c r="A80" s="342" t="s">
        <v>99</v>
      </c>
      <c r="B80" s="342" t="s">
        <v>227</v>
      </c>
      <c r="C80" s="340">
        <v>1840146324.3398337</v>
      </c>
    </row>
    <row r="81" spans="1:3" x14ac:dyDescent="0.25">
      <c r="A81" s="342" t="s">
        <v>99</v>
      </c>
      <c r="B81" s="342" t="s">
        <v>228</v>
      </c>
      <c r="C81" s="340">
        <v>2343853924.9832859</v>
      </c>
    </row>
    <row r="82" spans="1:3" x14ac:dyDescent="0.25">
      <c r="A82" s="342" t="s">
        <v>99</v>
      </c>
      <c r="B82" s="342" t="s">
        <v>229</v>
      </c>
      <c r="C82" s="340">
        <v>2220717922.611927</v>
      </c>
    </row>
    <row r="83" spans="1:3" x14ac:dyDescent="0.25">
      <c r="A83" s="342" t="s">
        <v>99</v>
      </c>
      <c r="B83" s="342" t="s">
        <v>230</v>
      </c>
      <c r="C83" s="340">
        <v>1700273881.3209002</v>
      </c>
    </row>
    <row r="84" spans="1:3" x14ac:dyDescent="0.25">
      <c r="A84" s="342" t="s">
        <v>99</v>
      </c>
      <c r="B84" s="342" t="s">
        <v>231</v>
      </c>
      <c r="C84" s="340">
        <v>1426645603.319592</v>
      </c>
    </row>
    <row r="85" spans="1:3" x14ac:dyDescent="0.25">
      <c r="A85" s="342" t="s">
        <v>99</v>
      </c>
      <c r="B85" s="342" t="s">
        <v>232</v>
      </c>
      <c r="C85" s="340">
        <v>1497818115.7180126</v>
      </c>
    </row>
    <row r="86" spans="1:3" x14ac:dyDescent="0.25">
      <c r="A86" s="342" t="s">
        <v>99</v>
      </c>
      <c r="B86" s="342" t="s">
        <v>233</v>
      </c>
      <c r="C86" s="340">
        <v>1774582112.5612607</v>
      </c>
    </row>
    <row r="87" spans="1:3" x14ac:dyDescent="0.25">
      <c r="A87" s="342" t="s">
        <v>99</v>
      </c>
      <c r="B87" s="342" t="s">
        <v>234</v>
      </c>
      <c r="C87" s="340">
        <v>1904731082.4743912</v>
      </c>
    </row>
    <row r="88" spans="1:3" x14ac:dyDescent="0.25">
      <c r="A88" s="342" t="s">
        <v>99</v>
      </c>
      <c r="B88" s="342" t="s">
        <v>235</v>
      </c>
      <c r="C88" s="340">
        <v>1692964795.0935862</v>
      </c>
    </row>
    <row r="89" spans="1:3" x14ac:dyDescent="0.25">
      <c r="A89" s="342" t="s">
        <v>99</v>
      </c>
      <c r="B89" s="342" t="s">
        <v>236</v>
      </c>
      <c r="C89" s="340">
        <v>1633321718.3954787</v>
      </c>
    </row>
    <row r="90" spans="1:3" x14ac:dyDescent="0.25">
      <c r="A90" s="342" t="s">
        <v>99</v>
      </c>
      <c r="B90" s="342" t="s">
        <v>237</v>
      </c>
      <c r="C90" s="340">
        <v>1412937288.1131833</v>
      </c>
    </row>
    <row r="91" spans="1:3" x14ac:dyDescent="0.25">
      <c r="A91" s="342" t="s">
        <v>99</v>
      </c>
      <c r="B91" s="342" t="s">
        <v>238</v>
      </c>
      <c r="C91" s="340">
        <v>1522135688.1644919</v>
      </c>
    </row>
    <row r="92" spans="1:3" x14ac:dyDescent="0.25">
      <c r="A92" s="342" t="s">
        <v>99</v>
      </c>
      <c r="B92" s="342" t="s">
        <v>239</v>
      </c>
      <c r="C92" s="340">
        <v>1894997609.1757207</v>
      </c>
    </row>
    <row r="93" spans="1:3" x14ac:dyDescent="0.25">
      <c r="A93" s="342" t="s">
        <v>99</v>
      </c>
      <c r="B93" s="342" t="s">
        <v>240</v>
      </c>
      <c r="C93" s="340">
        <v>2355523643.3976607</v>
      </c>
    </row>
    <row r="94" spans="1:3" x14ac:dyDescent="0.25">
      <c r="A94" s="342" t="s">
        <v>99</v>
      </c>
      <c r="B94" s="342" t="s">
        <v>241</v>
      </c>
      <c r="C94" s="340">
        <v>2239571523.7672925</v>
      </c>
    </row>
    <row r="95" spans="1:3" x14ac:dyDescent="0.25">
      <c r="A95" s="342" t="s">
        <v>99</v>
      </c>
      <c r="B95" s="342" t="s">
        <v>242</v>
      </c>
      <c r="C95" s="340">
        <v>1729904442.1165566</v>
      </c>
    </row>
    <row r="96" spans="1:3" x14ac:dyDescent="0.25">
      <c r="A96" s="342" t="s">
        <v>99</v>
      </c>
      <c r="B96" s="342" t="s">
        <v>243</v>
      </c>
      <c r="C96" s="340">
        <v>1490732923.5715249</v>
      </c>
    </row>
    <row r="97" spans="1:3" x14ac:dyDescent="0.25">
      <c r="A97" s="342" t="s">
        <v>99</v>
      </c>
      <c r="B97" s="342" t="s">
        <v>244</v>
      </c>
      <c r="C97" s="340">
        <v>1555695215.6033576</v>
      </c>
    </row>
    <row r="98" spans="1:3" x14ac:dyDescent="0.25">
      <c r="A98" s="342" t="s">
        <v>99</v>
      </c>
      <c r="B98" s="342" t="s">
        <v>245</v>
      </c>
      <c r="C98" s="340">
        <v>1830302121.2059786</v>
      </c>
    </row>
    <row r="99" spans="1:3" x14ac:dyDescent="0.25">
      <c r="A99" s="342" t="s">
        <v>99</v>
      </c>
      <c r="B99" s="342" t="s">
        <v>246</v>
      </c>
      <c r="C99" s="340">
        <v>1967262663.8256929</v>
      </c>
    </row>
    <row r="100" spans="1:3" x14ac:dyDescent="0.25">
      <c r="A100" s="342" t="s">
        <v>99</v>
      </c>
      <c r="B100" s="342" t="s">
        <v>247</v>
      </c>
      <c r="C100" s="340">
        <v>1686188433.2475388</v>
      </c>
    </row>
    <row r="101" spans="1:3" x14ac:dyDescent="0.25">
      <c r="A101" s="342" t="s">
        <v>99</v>
      </c>
      <c r="B101" s="342" t="s">
        <v>248</v>
      </c>
      <c r="C101" s="340">
        <v>1663194483.1819818</v>
      </c>
    </row>
    <row r="102" spans="1:3" x14ac:dyDescent="0.25">
      <c r="A102" s="342" t="s">
        <v>99</v>
      </c>
      <c r="B102" s="342" t="s">
        <v>249</v>
      </c>
      <c r="C102" s="340">
        <v>1420279576.77968</v>
      </c>
    </row>
    <row r="103" spans="1:3" x14ac:dyDescent="0.25">
      <c r="A103" s="342" t="s">
        <v>99</v>
      </c>
      <c r="B103" s="342" t="s">
        <v>250</v>
      </c>
      <c r="C103" s="340">
        <v>1570865792.6310377</v>
      </c>
    </row>
    <row r="104" spans="1:3" x14ac:dyDescent="0.25">
      <c r="A104" s="342" t="s">
        <v>99</v>
      </c>
      <c r="B104" s="342" t="s">
        <v>251</v>
      </c>
      <c r="C104" s="340">
        <v>1940958865.9303982</v>
      </c>
    </row>
    <row r="105" spans="1:3" x14ac:dyDescent="0.25">
      <c r="A105" s="342" t="s">
        <v>99</v>
      </c>
      <c r="B105" s="342" t="s">
        <v>252</v>
      </c>
      <c r="C105" s="340">
        <v>2476794488.897459</v>
      </c>
    </row>
    <row r="106" spans="1:3" x14ac:dyDescent="0.25">
      <c r="A106" s="342" t="s">
        <v>99</v>
      </c>
      <c r="B106" s="342" t="s">
        <v>253</v>
      </c>
      <c r="C106" s="340">
        <v>2344742637.449542</v>
      </c>
    </row>
    <row r="107" spans="1:3" x14ac:dyDescent="0.25">
      <c r="A107" s="342" t="s">
        <v>99</v>
      </c>
      <c r="B107" s="342" t="s">
        <v>254</v>
      </c>
      <c r="C107" s="340">
        <v>1793307941.5742316</v>
      </c>
    </row>
    <row r="108" spans="1:3" x14ac:dyDescent="0.25">
      <c r="A108" s="342" t="s">
        <v>99</v>
      </c>
      <c r="B108" s="342" t="s">
        <v>255</v>
      </c>
      <c r="C108" s="340">
        <v>1500781590.8799727</v>
      </c>
    </row>
    <row r="109" spans="1:3" x14ac:dyDescent="0.25">
      <c r="A109" s="342" t="s">
        <v>99</v>
      </c>
      <c r="B109" s="342" t="s">
        <v>256</v>
      </c>
      <c r="C109" s="340">
        <v>1577508160.4511144</v>
      </c>
    </row>
    <row r="110" spans="1:3" x14ac:dyDescent="0.25">
      <c r="A110" s="342" t="s">
        <v>99</v>
      </c>
      <c r="B110" s="342" t="s">
        <v>257</v>
      </c>
      <c r="C110" s="340">
        <v>1871479726.0172389</v>
      </c>
    </row>
    <row r="111" spans="1:3" x14ac:dyDescent="0.25">
      <c r="A111" s="342" t="s">
        <v>99</v>
      </c>
      <c r="B111" s="342" t="s">
        <v>258</v>
      </c>
      <c r="C111" s="340">
        <v>2024289263.995111</v>
      </c>
    </row>
    <row r="112" spans="1:3" x14ac:dyDescent="0.25">
      <c r="A112" s="342" t="s">
        <v>99</v>
      </c>
      <c r="B112" s="342" t="s">
        <v>259</v>
      </c>
      <c r="C112" s="340">
        <v>1734777072.0261457</v>
      </c>
    </row>
    <row r="113" spans="1:3" x14ac:dyDescent="0.25">
      <c r="A113" s="342" t="s">
        <v>99</v>
      </c>
      <c r="B113" s="342" t="s">
        <v>260</v>
      </c>
      <c r="C113" s="340">
        <v>1710620979.5054286</v>
      </c>
    </row>
    <row r="114" spans="1:3" x14ac:dyDescent="0.25">
      <c r="A114" s="342" t="s">
        <v>99</v>
      </c>
      <c r="B114" s="342" t="s">
        <v>261</v>
      </c>
      <c r="C114" s="340">
        <v>1460354398.2965777</v>
      </c>
    </row>
    <row r="115" spans="1:3" x14ac:dyDescent="0.25">
      <c r="A115" s="342" t="s">
        <v>99</v>
      </c>
      <c r="B115" s="342" t="s">
        <v>262</v>
      </c>
      <c r="C115" s="340">
        <v>1615541478.7518058</v>
      </c>
    </row>
    <row r="116" spans="1:3" x14ac:dyDescent="0.25">
      <c r="A116" s="342" t="s">
        <v>99</v>
      </c>
      <c r="B116" s="342" t="s">
        <v>263</v>
      </c>
      <c r="C116" s="340">
        <v>1997150287.8697948</v>
      </c>
    </row>
    <row r="117" spans="1:3" x14ac:dyDescent="0.25">
      <c r="A117" s="342" t="s">
        <v>99</v>
      </c>
      <c r="B117" s="342" t="s">
        <v>264</v>
      </c>
      <c r="C117" s="340">
        <v>2549695003.3149734</v>
      </c>
    </row>
    <row r="118" spans="1:3" x14ac:dyDescent="0.25">
      <c r="A118" s="342" t="s">
        <v>99</v>
      </c>
      <c r="B118" s="342" t="s">
        <v>265</v>
      </c>
      <c r="C118" s="340">
        <v>2413137955.2359457</v>
      </c>
    </row>
    <row r="119" spans="1:3" x14ac:dyDescent="0.25">
      <c r="A119" s="342" t="s">
        <v>99</v>
      </c>
      <c r="B119" s="342" t="s">
        <v>266</v>
      </c>
      <c r="C119" s="340">
        <v>1845033843.0178759</v>
      </c>
    </row>
    <row r="120" spans="1:3" x14ac:dyDescent="0.25">
      <c r="A120" s="342" t="s">
        <v>99</v>
      </c>
      <c r="B120" s="342" t="s">
        <v>267</v>
      </c>
      <c r="C120" s="340">
        <v>1543227183.4539442</v>
      </c>
    </row>
    <row r="121" spans="1:3" x14ac:dyDescent="0.25">
      <c r="A121" s="342" t="s">
        <v>99</v>
      </c>
      <c r="B121" s="342" t="s">
        <v>268</v>
      </c>
      <c r="C121" s="340">
        <v>1622578795.5153196</v>
      </c>
    </row>
    <row r="122" spans="1:3" x14ac:dyDescent="0.25">
      <c r="A122" s="342" t="s">
        <v>99</v>
      </c>
      <c r="B122" s="342" t="s">
        <v>269</v>
      </c>
      <c r="C122" s="340">
        <v>1925563157.0129066</v>
      </c>
    </row>
    <row r="123" spans="1:3" x14ac:dyDescent="0.25">
      <c r="A123" s="342" t="s">
        <v>99</v>
      </c>
      <c r="B123" s="342" t="s">
        <v>343</v>
      </c>
      <c r="C123" s="340">
        <v>2082552325.6879206</v>
      </c>
    </row>
    <row r="124" spans="1:3" x14ac:dyDescent="0.25">
      <c r="A124" s="342" t="s">
        <v>99</v>
      </c>
      <c r="B124" s="342" t="s">
        <v>344</v>
      </c>
      <c r="C124" s="340">
        <v>1784601478.7834806</v>
      </c>
    </row>
    <row r="125" spans="1:3" x14ac:dyDescent="0.25">
      <c r="A125" s="342" t="s">
        <v>99</v>
      </c>
      <c r="B125" s="342" t="s">
        <v>345</v>
      </c>
      <c r="C125" s="340">
        <v>1759393759.2778244</v>
      </c>
    </row>
    <row r="126" spans="1:3" x14ac:dyDescent="0.25">
      <c r="A126" s="342" t="s">
        <v>99</v>
      </c>
      <c r="B126" s="342" t="s">
        <v>346</v>
      </c>
      <c r="C126" s="340">
        <v>1501813963.3862443</v>
      </c>
    </row>
    <row r="127" spans="1:3" x14ac:dyDescent="0.25">
      <c r="A127" s="342" t="s">
        <v>99</v>
      </c>
      <c r="B127" s="342" t="s">
        <v>347</v>
      </c>
      <c r="C127" s="340">
        <v>1661565982.6285641</v>
      </c>
    </row>
    <row r="128" spans="1:3" x14ac:dyDescent="0.25">
      <c r="A128" s="342" t="s">
        <v>99</v>
      </c>
      <c r="B128" s="342" t="s">
        <v>348</v>
      </c>
      <c r="C128" s="340">
        <v>2054525591.9103034</v>
      </c>
    </row>
    <row r="129" spans="1:3" x14ac:dyDescent="0.25">
      <c r="A129" s="342" t="s">
        <v>99</v>
      </c>
      <c r="B129" s="342" t="s">
        <v>349</v>
      </c>
      <c r="C129" s="340">
        <v>2623522523.8129287</v>
      </c>
    </row>
    <row r="130" spans="1:3" x14ac:dyDescent="0.25">
      <c r="A130" s="342" t="s">
        <v>99</v>
      </c>
      <c r="B130" s="342" t="s">
        <v>350</v>
      </c>
      <c r="C130" s="340">
        <v>2482595645.0809431</v>
      </c>
    </row>
    <row r="131" spans="1:3" x14ac:dyDescent="0.25">
      <c r="A131" s="342" t="s">
        <v>99</v>
      </c>
      <c r="B131" s="342" t="s">
        <v>351</v>
      </c>
      <c r="C131" s="340">
        <v>1897776329.900357</v>
      </c>
    </row>
    <row r="132" spans="1:3" x14ac:dyDescent="0.25">
      <c r="A132" s="342" t="s">
        <v>99</v>
      </c>
      <c r="B132" s="342" t="s">
        <v>352</v>
      </c>
      <c r="C132" s="340">
        <v>1587140401.539252</v>
      </c>
    </row>
    <row r="133" spans="1:3" x14ac:dyDescent="0.25">
      <c r="A133" s="342" t="s">
        <v>99</v>
      </c>
      <c r="B133" s="342" t="s">
        <v>353</v>
      </c>
      <c r="C133" s="340">
        <v>1668932042.3935041</v>
      </c>
    </row>
    <row r="134" spans="1:3" x14ac:dyDescent="0.25">
      <c r="A134" s="342" t="s">
        <v>99</v>
      </c>
      <c r="B134" s="342" t="s">
        <v>354</v>
      </c>
      <c r="C134" s="340">
        <v>1980823251.9071352</v>
      </c>
    </row>
    <row r="135" spans="1:3" x14ac:dyDescent="0.25">
      <c r="A135" s="161"/>
      <c r="B135" s="161"/>
      <c r="C135" s="162"/>
    </row>
    <row r="136" spans="1:3" x14ac:dyDescent="0.25">
      <c r="A136" s="161"/>
      <c r="B136" s="161"/>
      <c r="C136" s="162"/>
    </row>
    <row r="137" spans="1:3" x14ac:dyDescent="0.25">
      <c r="A137" s="161"/>
      <c r="B137" s="161"/>
      <c r="C137" s="162"/>
    </row>
    <row r="138" spans="1:3" x14ac:dyDescent="0.25">
      <c r="A138" s="161"/>
      <c r="B138" s="161"/>
      <c r="C138" s="162"/>
    </row>
    <row r="139" spans="1:3" x14ac:dyDescent="0.25">
      <c r="A139" s="161"/>
      <c r="B139" s="161"/>
      <c r="C139" s="162"/>
    </row>
    <row r="140" spans="1:3" x14ac:dyDescent="0.25">
      <c r="A140" s="161"/>
      <c r="B140" s="161"/>
      <c r="C140" s="162"/>
    </row>
    <row r="141" spans="1:3" x14ac:dyDescent="0.25">
      <c r="A141" s="161"/>
      <c r="B141" s="161"/>
      <c r="C141" s="162"/>
    </row>
    <row r="142" spans="1:3" x14ac:dyDescent="0.25">
      <c r="A142" s="161"/>
      <c r="B142" s="161"/>
      <c r="C142" s="162"/>
    </row>
    <row r="143" spans="1:3" x14ac:dyDescent="0.25">
      <c r="A143" s="161"/>
      <c r="B143" s="161"/>
      <c r="C143" s="162"/>
    </row>
  </sheetData>
  <mergeCells count="2">
    <mergeCell ref="C1:C2"/>
    <mergeCell ref="E1:E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ason_x0020_For_x0020_HOLD xmlns="92f4ef6d-3abd-4018-9223-5900f694f37e" xsi:nil="true"/>
    <Mark_x0020_Mader xmlns="92f4ef6d-3abd-4018-9223-5900f694f37e">Approved</Mark_x0020_Mader>
    <Linker xmlns="92f4ef6d-3abd-4018-9223-5900f694f37e" xsi:nil="true"/>
    <Series xmlns="92f4ef6d-3abd-4018-9223-5900f694f37e">S-JCPL-RRC</Series>
    <Date_x0020_Received xmlns="92f4ef6d-3abd-4018-9223-5900f694f37e">2025-04-01T04:00:00+00:00</Date_x0020_Received>
    <Carol_x0020_Pittavino xmlns="92f4ef6d-3abd-4018-9223-5900f694f37e">For Your Review</Carol_x0020_Pittavino>
    <Status xmlns="92f4ef6d-3abd-4018-9223-5900f694f37e">Ready to Submit</Status>
    <Jen_x0020_Spricigo xmlns="92f4ef6d-3abd-4018-9223-5900f694f37e">For Your Review</Jen_x0020_Spricigo>
    <Jim_x0020_Meade xmlns="92f4ef6d-3abd-4018-9223-5900f694f37e">For Your Review</Jim_x0020_Meade>
    <E_x002d_mail_x0020_Submission_x0020_Date xmlns="92f4ef6d-3abd-4018-9223-5900f694f37e" xsi:nil="true"/>
    <Tim_x0020_Mc_x0020_Hugh xmlns="92f4ef6d-3abd-4018-9223-5900f694f37e">For Your Review</Tim_x0020_Mc_x0020_Hugh>
    <Carol_x0020_Pittavino0 xmlns="92f4ef6d-3abd-4018-9223-5900f694f37e">Approved</Carol_x0020_Pittavino0>
    <JenniferSpr xmlns="92f4ef6d-3abd-4018-9223-5900f694f37e">For Your Review</JenniferSpr>
    <Legal_x0020_Stage_x0020_1 xmlns="92f4ef6d-3abd-4018-9223-5900f694f37e">Approved</Legal_x0020_Stage_x0020_1>
    <Preparer xmlns="92f4ef6d-3abd-4018-9223-5900f694f37e">Jim O'Toole</Preparer>
    <_x0032_021_x0020_Due_x0020_Date xmlns="92f4ef6d-3abd-4018-9223-5900f694f37e">2023-10-20T04:00:00+00:00</_x0032_021_x0020_Due_x0020_Date>
    <Carol_x0020_Pittavino_x0020__x0028_Stage_x0020_2_x0029_ xmlns="92f4ef6d-3abd-4018-9223-5900f694f37e">For Your Review</Carol_x0020_Pittavino_x0020__x0028_Stage_x0020_2_x0029_>
    <Assigned_x0020_To0 xmlns="92f4ef6d-3abd-4018-9223-5900f694f37e">Jim O'Toole</Assigned_x0020_To0>
    <Jim_x0020_O_x0027_Toole xmlns="92f4ef6d-3abd-4018-9223-5900f694f37e">Approved</Jim_x0020_O_x0027_Toole>
    <Tori_x0020_Geisler xmlns="92f4ef6d-3abd-4018-9223-5900f694f37e">N/A</Tori_x0020_Geisler>
    <Tim_x0020_Hicks xmlns="92f4ef6d-3abd-4018-9223-5900f694f37e">For Your Review</Tim_x0020_Hicks>
    <LRAM_x0020_Due_x0020_Date xmlns="92f4ef6d-3abd-4018-9223-5900f694f37e" xsi:nil="true"/>
    <Teresa_x0020_Reed xmlns="92f4ef6d-3abd-4018-9223-5900f694f37e">N/A</Teresa_x0020_Reed>
    <RRC_x0020_Filing xmlns="92f4ef6d-3abd-4018-9223-5900f694f37e">2024 Rider RRC</RRC_x0020_Filing>
    <RAC_x0020_Filing xmlns="92f4ef6d-3abd-4018-9223-5900f694f37e">Choose Filing</RAC_x0020_Filing>
    <SBC_x0020_Filing xmlns="92f4ef6d-3abd-4018-9223-5900f694f37e">2024 Rider SBC</SBC_x0020_Filing>
    <Lennie_x0020_Howell xmlns="92f4ef6d-3abd-4018-9223-5900f694f37e">For Your Review</Lennie_x0020_Howell>
    <James_x0020_Meehan xmlns="92f4ef6d-3abd-4018-9223-5900f694f37e">For Your Review</James_x0020_Meehan>
    <Peer_x0020_Reviewer_x0020__x002d__x0020_Jen xmlns="92f4ef6d-3abd-4018-9223-5900f694f37e">In Review</Peer_x0020_Reviewer_x0020__x002d__x0020_Jen>
    <USF_x0020_Filing xmlns="92f4ef6d-3abd-4018-9223-5900f694f37e">2025 USF Audit</USF_x0020_Filing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B0BD6E1BD95C42AD3949AC2A2BED5F" ma:contentTypeVersion="60" ma:contentTypeDescription="Create a new document." ma:contentTypeScope="" ma:versionID="985bfbfb422bd4983db76313184e029e">
  <xsd:schema xmlns:xsd="http://www.w3.org/2001/XMLSchema" xmlns:xs="http://www.w3.org/2001/XMLSchema" xmlns:p="http://schemas.microsoft.com/office/2006/metadata/properties" xmlns:ns2="92f4ef6d-3abd-4018-9223-5900f694f37e" xmlns:ns3="2ec4c0bf-c95c-4834-a6f2-fa418c1350fd" targetNamespace="http://schemas.microsoft.com/office/2006/metadata/properties" ma:root="true" ma:fieldsID="4c028ac738fd2fb5df5dbfba0844602f" ns2:_="" ns3:_="">
    <xsd:import namespace="92f4ef6d-3abd-4018-9223-5900f694f37e"/>
    <xsd:import namespace="2ec4c0bf-c95c-4834-a6f2-fa418c1350fd"/>
    <xsd:element name="properties">
      <xsd:complexType>
        <xsd:sequence>
          <xsd:element name="documentManagement">
            <xsd:complexType>
              <xsd:all>
                <xsd:element ref="ns2:Carol_x0020_Pittavino" minOccurs="0"/>
                <xsd:element ref="ns2:Status" minOccurs="0"/>
                <xsd:element ref="ns2:Tori_x0020_Geisler" minOccurs="0"/>
                <xsd:element ref="ns2:Mark_x0020_Mader" minOccurs="0"/>
                <xsd:element ref="ns2:Date_x0020_Received" minOccurs="0"/>
                <xsd:element ref="ns2:JenniferSpr" minOccurs="0"/>
                <xsd:element ref="ns2:Assigned_x0020_To0" minOccurs="0"/>
                <xsd:element ref="ns2:LRAM_x0020_Due_x0020_Date" minOccurs="0"/>
                <xsd:element ref="ns2:E_x002d_mail_x0020_Submission_x0020_Date" minOccurs="0"/>
                <xsd:element ref="ns2:_x0032_021_x0020_Due_x0020_Date" minOccurs="0"/>
                <xsd:element ref="ns2:Reason_x0020_For_x0020_HOLD" minOccurs="0"/>
                <xsd:element ref="ns2:Linker" minOccurs="0"/>
                <xsd:element ref="ns2:Jen_x0020_Spricigo" minOccurs="0"/>
                <xsd:element ref="ns2:Legal_x0020_Stage_x0020_1" minOccurs="0"/>
                <xsd:element ref="ns2:Preparer" minOccurs="0"/>
                <xsd:element ref="ns2:Series" minOccurs="0"/>
                <xsd:element ref="ns2:Tim_x0020_Mc_x0020_Hugh" minOccurs="0"/>
                <xsd:element ref="ns2:Carol_x0020_Pittavino0" minOccurs="0"/>
                <xsd:element ref="ns2:Jim_x0020_O_x0027_Toole" minOccurs="0"/>
                <xsd:element ref="ns2:Jim_x0020_Meade" minOccurs="0"/>
                <xsd:element ref="ns2:Tim_x0020_Hicks" minOccurs="0"/>
                <xsd:element ref="ns2:Carol_x0020_Pittavino_x0020__x0028_Stage_x0020_2_x0029_" minOccurs="0"/>
                <xsd:element ref="ns2:Teresa_x0020_Reed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RRC_x0020_Filing" minOccurs="0"/>
                <xsd:element ref="ns2:SBC_x0020_Filing" minOccurs="0"/>
                <xsd:element ref="ns2:James_x0020_Meehan" minOccurs="0"/>
                <xsd:element ref="ns2:RAC_x0020_Filing" minOccurs="0"/>
                <xsd:element ref="ns2:Lennie_x0020_Howell" minOccurs="0"/>
                <xsd:element ref="ns2:Peer_x0020_Reviewer_x0020__x002d__x0020_Jen" minOccurs="0"/>
                <xsd:element ref="ns2:USF_x0020_Fil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f4ef6d-3abd-4018-9223-5900f694f37e" elementFormDefault="qualified">
    <xsd:import namespace="http://schemas.microsoft.com/office/2006/documentManagement/types"/>
    <xsd:import namespace="http://schemas.microsoft.com/office/infopath/2007/PartnerControls"/>
    <xsd:element name="Carol_x0020_Pittavino" ma:index="2" nillable="true" ma:displayName="Pittavino/O'Toole" ma:default="For Your Review" ma:description="Stage 1 Reviewer" ma:format="Dropdown" ma:internalName="Carol_x0020_Pittavino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Approved If Edits Accepted"/>
          <xsd:enumeration value="Re-review"/>
          <xsd:enumeration value="N/A"/>
        </xsd:restriction>
      </xsd:simpleType>
    </xsd:element>
    <xsd:element name="Status" ma:index="3" nillable="true" ma:displayName="Status" ma:default="Template" ma:description="Response Review Status" ma:format="Dropdown" ma:internalName="Status">
      <xsd:simpleType>
        <xsd:restriction base="dms:Choice">
          <xsd:enumeration value="Template"/>
          <xsd:enumeration value="In Process"/>
          <xsd:enumeration value="In Process-Review"/>
          <xsd:enumeration value="Final/Clean Draft"/>
          <xsd:enumeration value="Stage 1 Review"/>
          <xsd:enumeration value="Stage 2 Review"/>
          <xsd:enumeration value="HOLD"/>
          <xsd:enumeration value="Ready to Submit"/>
          <xsd:enumeration value="Submitted"/>
          <xsd:enumeration value="Original"/>
          <xsd:enumeration value="Workpaper-Not Submitted"/>
          <xsd:enumeration value="Questions"/>
          <xsd:enumeration value="Link"/>
          <xsd:enumeration value="N/A"/>
          <xsd:enumeration value="As Filed"/>
          <xsd:enumeration value="Ready for Review"/>
          <xsd:enumeration value="Completed"/>
          <xsd:enumeration value="Final Draft for Review"/>
        </xsd:restriction>
      </xsd:simpleType>
    </xsd:element>
    <xsd:element name="Tori_x0020_Geisler" ma:index="4" nillable="true" ma:displayName="Tori Giesler" ma:default="For Your Review" ma:description="Stage 2 Reviewer" ma:format="Dropdown" ma:internalName="Tori_x0020_Geisler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Mark_x0020_Mader" ma:index="5" nillable="true" ma:displayName="Mark Mader" ma:default="For Your Review" ma:description="Stage  2 Reviewer" ma:format="Dropdown" ma:internalName="Mark_x0020_Mader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Date_x0020_Received" ma:index="6" nillable="true" ma:displayName="Date Received" ma:description="E-mail Date of Submission by Propounder" ma:format="DateOnly" ma:internalName="Date_x0020_Received">
      <xsd:simpleType>
        <xsd:restriction base="dms:DateTime"/>
      </xsd:simpleType>
    </xsd:element>
    <xsd:element name="JenniferSpr" ma:index="8" nillable="true" ma:displayName="Spricigo/O'Toole" ma:default="For Your Review" ma:description="Review Completed by either Jim O'Toole or Jennifer Spricigo" ma:format="Dropdown" ma:internalName="JenniferSpr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ot Applicable"/>
        </xsd:restriction>
      </xsd:simpleType>
    </xsd:element>
    <xsd:element name="Assigned_x0020_To0" ma:index="9" nillable="true" ma:displayName="Witness" ma:default="Jim O'Toole" ma:format="Dropdown" ma:internalName="Assigned_x0020_To0">
      <xsd:simpleType>
        <xsd:union memberTypes="dms:Text">
          <xsd:simpleType>
            <xsd:restriction base="dms:Choice">
              <xsd:enumeration value="Please Choose"/>
              <xsd:enumeration value="Yongmei Peng"/>
              <xsd:enumeration value="Carol Pittavino"/>
              <xsd:enumeration value="Cristy Ludrosky"/>
              <xsd:enumeration value="Frank Lawson"/>
              <xsd:enumeration value="Dan Kerr"/>
              <xsd:enumeration value="Jim O'Toole"/>
            </xsd:restriction>
          </xsd:simpleType>
        </xsd:union>
      </xsd:simpleType>
    </xsd:element>
    <xsd:element name="LRAM_x0020_Due_x0020_Date" ma:index="10" nillable="true" ma:displayName="LRAM Due Date" ma:description="Date responses are due" ma:format="DateOnly" ma:internalName="LRAM_x0020_Due_x0020_Date">
      <xsd:simpleType>
        <xsd:restriction base="dms:DateTime"/>
      </xsd:simpleType>
    </xsd:element>
    <xsd:element name="E_x002d_mail_x0020_Submission_x0020_Date" ma:index="11" nillable="true" ma:displayName="E-mail Date" ma:description="Date Response Submitted Via E-mail" ma:format="DateOnly" ma:internalName="E_x002d_mail_x0020_Submission_x0020_Date">
      <xsd:simpleType>
        <xsd:restriction base="dms:DateTime"/>
      </xsd:simpleType>
    </xsd:element>
    <xsd:element name="_x0032_021_x0020_Due_x0020_Date" ma:index="12" nillable="true" ma:displayName="RAC Due Date" ma:default="2023-10-20T04:00:00Z" ma:description="Date 2021 RAC Responses are to be Submitted" ma:format="DateOnly" ma:internalName="_x0032_021_x0020_Due_x0020_Date">
      <xsd:simpleType>
        <xsd:restriction base="dms:DateTime"/>
      </xsd:simpleType>
    </xsd:element>
    <xsd:element name="Reason_x0020_For_x0020_HOLD" ma:index="13" nillable="true" ma:displayName="Reason For HOLD" ma:description="Use this line to give reason for Hold." ma:internalName="Reason_x0020_For_x0020_HOLD">
      <xsd:simpleType>
        <xsd:restriction base="dms:Note">
          <xsd:maxLength value="255"/>
        </xsd:restriction>
      </xsd:simpleType>
    </xsd:element>
    <xsd:element name="Linker" ma:index="16" nillable="true" ma:displayName="Linker" ma:description="This column can be used to make Links, primarily for sending specific responses and attachments to reviewers." ma:internalName="Linker">
      <xsd:simpleType>
        <xsd:restriction base="dms:Text">
          <xsd:maxLength value="255"/>
        </xsd:restriction>
      </xsd:simpleType>
    </xsd:element>
    <xsd:element name="Jen_x0020_Spricigo" ma:index="17" nillable="true" ma:displayName="Jen Spricigo" ma:default="For Your Review" ma:description="Review to be done by Jennifer Spricigo" ma:format="Dropdown" ma:internalName="Jen_x0020_Spricigo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Legal_x0020_Stage_x0020_1" ma:index="18" nillable="true" ma:displayName="Mike Martelo" ma:default="For Your Review" ma:description="Stage 1 Reviewer" ma:format="Dropdown" ma:internalName="Legal_x0020_Stage_x0020_1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Preparer" ma:index="20" nillable="true" ma:displayName="Preparer" ma:default="Please Assign" ma:description="Person Assign Responsibility for answering response by Due Date" ma:format="Dropdown" ma:internalName="Preparer">
      <xsd:simpleType>
        <xsd:union memberTypes="dms:Text">
          <xsd:simpleType>
            <xsd:restriction base="dms:Choice">
              <xsd:enumeration value="Please Assign"/>
              <xsd:enumeration value="Carlos Mendoza"/>
              <xsd:enumeration value="Jennifer Spricigo"/>
              <xsd:enumeration value="Dan Kerr"/>
              <xsd:enumeration value="Tim Hicks"/>
              <xsd:enumeration value="Carol Pittavino"/>
              <xsd:enumeration value="Mike Martello"/>
              <xsd:enumeration value="Yongmei Peng"/>
              <xsd:enumeration value="Ludrosky/Peng"/>
              <xsd:enumeration value="Tom Donadio"/>
              <xsd:enumeration value="Jim O'Toole"/>
              <xsd:enumeration value="O'Toole/Kerr"/>
              <xsd:enumeration value="O'Toole/Luff"/>
              <xsd:enumeration value="Chris Moravec"/>
              <xsd:enumeration value="Justin Shaub"/>
              <xsd:enumeration value="Lara Dennison"/>
              <xsd:enumeration value="Lennie  Howell"/>
              <xsd:enumeration value="Matt Sacher, Auditing"/>
              <xsd:enumeration value="L. Howell/S. Dye"/>
              <xsd:enumeration value="L. Howell/G. Siegal"/>
              <xsd:enumeration value="Glen Siegal"/>
              <xsd:enumeration value="Trenton Feasel"/>
              <xsd:enumeration value="Randy Beegle"/>
              <xsd:enumeration value="Jenn Schalmo"/>
              <xsd:enumeration value="Tammy Lash"/>
              <xsd:enumeration value="Mourton/Lemke"/>
              <xsd:enumeration value="Customer Experience"/>
              <xsd:enumeration value="Customer Experience/S. Cochran"/>
              <xsd:enumeration value="Cust. Experience/C. Allan"/>
              <xsd:enumeration value="Cust. Experience/P. Davis"/>
              <xsd:enumeration value="Cust. Experience/T. Lash"/>
              <xsd:enumeration value="N/A"/>
            </xsd:restriction>
          </xsd:simpleType>
        </xsd:union>
      </xsd:simpleType>
    </xsd:element>
    <xsd:element name="Series" ma:index="21" nillable="true" ma:displayName="Series" ma:default="Please Choose" ma:description="Discovery Question Series Name" ma:format="Dropdown" ma:internalName="Series">
      <xsd:simpleType>
        <xsd:restriction base="dms:Choice">
          <xsd:enumeration value="Please Choose"/>
          <xsd:enumeration value="JCP&amp;L-DR"/>
          <xsd:enumeration value="S-JCPL-SBC"/>
          <xsd:enumeration value="S-JCPL-ENG"/>
          <xsd:enumeration value="S-JCPL-REV"/>
          <xsd:enumeration value="RCR"/>
          <xsd:enumeration value="RCR-A"/>
          <xsd:enumeration value="RCR-ENV"/>
          <xsd:enumeration value="S-JCPL-NGC"/>
          <xsd:enumeration value="S-JCPL-RRC"/>
          <xsd:enumeration value="S-JCPL-LRAM"/>
          <xsd:enumeration value="S-JCPL-ZECRC"/>
        </xsd:restriction>
      </xsd:simpleType>
    </xsd:element>
    <xsd:element name="Tim_x0020_Mc_x0020_Hugh" ma:index="22" nillable="true" ma:displayName="Tim McHugh" ma:default="For Your Review" ma:description="Stage 1 Reviewer" ma:format="Dropdown" ma:internalName="Tim_x0020_Mc_x0020_Hugh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Carol_x0020_Pittavino0" ma:index="25" nillable="true" ma:displayName="Carol Pittavino" ma:default="For Your Review" ma:description="Stage 1 Reviewer" ma:format="Dropdown" ma:internalName="Carol_x0020_Pittavino0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Jim_x0020_O_x0027_Toole" ma:index="26" nillable="true" ma:displayName="Jim O'Toole" ma:default="For Your Review" ma:description="Stage 1 Reviewer" ma:format="Dropdown" ma:internalName="Jim_x0020_O_x0027_Toole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Jim_x0020_Meade" ma:index="27" nillable="true" ma:displayName="Jim Meade" ma:default="For Your Review" ma:description="Stage 1 Reviewer" ma:format="Dropdown" ma:internalName="Jim_x0020_Meade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Tim_x0020_Hicks" ma:index="28" nillable="true" ma:displayName="Tim Hicks" ma:default="For Your Review" ma:description="Stage 1 Reviewer" ma:format="Dropdown" ma:internalName="Tim_x0020_Hicks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Carol_x0020_Pittavino_x0020__x0028_Stage_x0020_2_x0029_" ma:index="29" nillable="true" ma:displayName="Carol Pittavino (S2)" ma:default="N/A" ma:description="Stage 2 Reviewer" ma:format="Dropdown" ma:internalName="Carol_x0020_Pittavino_x0020__x0028_Stage_x0020_2_x0029_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Approved If Edits Accepted"/>
          <xsd:enumeration value="Re-review"/>
          <xsd:enumeration value="N/A"/>
        </xsd:restriction>
      </xsd:simpleType>
    </xsd:element>
    <xsd:element name="Teresa_x0020_Reed" ma:index="33" nillable="true" ma:displayName="Teresa Reed" ma:default="N/A" ma:description="Stage 2 Reviewer" ma:format="Dropdown" ma:internalName="Teresa_x0020_Reed">
      <xsd:simpleType>
        <xsd:restriction base="dms:Choice">
          <xsd:enumeration value="N/A"/>
          <xsd:enumeration value="For Your Review"/>
          <xsd:enumeration value="Comments/Edits"/>
          <xsd:enumeration value="Approved"/>
          <xsd:enumeration value="Approved with Minor Edits"/>
          <xsd:enumeration value="Re-review"/>
        </xsd:restriction>
      </xsd:simpleType>
    </xsd:element>
    <xsd:element name="MediaServiceMetadata" ma:index="3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3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RC_x0020_Filing" ma:index="47" nillable="true" ma:displayName="RRC Filing" ma:description="Name of RRC Filing" ma:format="Dropdown" ma:internalName="RRC_x0020_Filing">
      <xsd:simpleType>
        <xsd:restriction base="dms:Choice">
          <xsd:enumeration value="Choose Filing"/>
          <xsd:enumeration value="2023 Rider RRC"/>
          <xsd:enumeration value="2024 Rider RRC"/>
        </xsd:restriction>
      </xsd:simpleType>
    </xsd:element>
    <xsd:element name="SBC_x0020_Filing" ma:index="50" nillable="true" ma:displayName="SBC Filing" ma:default="2024 Rider SBC" ma:description="Name of SBC Filing" ma:format="Dropdown" ma:internalName="SBC_x0020_Filing">
      <xsd:simpleType>
        <xsd:restriction base="dms:Choice">
          <xsd:enumeration value="Choose Filing"/>
          <xsd:enumeration value="2022-23 Rider SBC"/>
          <xsd:enumeration value="2024 Rider SBC"/>
        </xsd:restriction>
      </xsd:simpleType>
    </xsd:element>
    <xsd:element name="James_x0020_Meehan" ma:index="54" nillable="true" ma:displayName="James Meehan" ma:default="For Your Review" ma:description="Stage 1 Reviewer" ma:format="Dropdown" ma:internalName="James_x0020_Meehan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RAC_x0020_Filing" ma:index="57" nillable="true" ma:displayName="RAC Filing" ma:default="Choose Filing" ma:description="Name of RAC Filing" ma:format="Dropdown" ma:internalName="RAC_x0020_Filing">
      <xsd:simpleType>
        <xsd:restriction base="dms:Choice">
          <xsd:enumeration value="Choose Filing"/>
          <xsd:enumeration value="2021 Rider RAC"/>
          <xsd:enumeration value="2022 Rider RAC"/>
          <xsd:enumeration value="2023 Rider RAC"/>
          <xsd:enumeration value="2024 Rider RAC"/>
          <xsd:enumeration value="2025 Rider RAC"/>
        </xsd:restriction>
      </xsd:simpleType>
    </xsd:element>
    <xsd:element name="Lennie_x0020_Howell" ma:index="61" nillable="true" ma:displayName="Lennie Howell" ma:default="For Your Review" ma:description="Stage 1 Reviewer" ma:format="Dropdown" ma:internalName="Lennie_x0020_Howell">
      <xsd:simpleType>
        <xsd:restriction base="dms:Choice">
          <xsd:enumeration value="For Your Review"/>
          <xsd:enumeration value="Comments/Edits"/>
          <xsd:enumeration value="Approved"/>
          <xsd:enumeration value="Approved with Minor Edits"/>
          <xsd:enumeration value="Re-review"/>
          <xsd:enumeration value="N/A"/>
        </xsd:restriction>
      </xsd:simpleType>
    </xsd:element>
    <xsd:element name="Peer_x0020_Reviewer_x0020__x002d__x0020_Jen" ma:index="64" nillable="true" ma:displayName="Peer Reviewer - Jen" ma:default="In Review" ma:description="Peer Reviewer - Jen Spricigo" ma:format="Dropdown" ma:internalName="Peer_x0020_Reviewer_x0020__x002d__x0020_Jen">
      <xsd:simpleType>
        <xsd:restriction base="dms:Choice">
          <xsd:enumeration value="In Review"/>
          <xsd:enumeration value="Approved"/>
          <xsd:enumeration value="Edits"/>
        </xsd:restriction>
      </xsd:simpleType>
    </xsd:element>
    <xsd:element name="USF_x0020_Filing" ma:index="65" nillable="true" ma:displayName="USF Filing" ma:default="2025 USF Audit" ma:description="Name of USF Filing" ma:format="Dropdown" ma:internalName="USF_x0020_Filing">
      <xsd:simpleType>
        <xsd:restriction base="dms:Choice">
          <xsd:enumeration value="2025 USF Audit"/>
          <xsd:enumeration value="2025-26 USF Filing"/>
          <xsd:enumeration value="2026-27 USF Filing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c4c0bf-c95c-4834-a6f2-fa418c1350fd" elementFormDefault="qualified">
    <xsd:import namespace="http://schemas.microsoft.com/office/2006/documentManagement/types"/>
    <xsd:import namespace="http://schemas.microsoft.com/office/infopath/2007/PartnerControls"/>
    <xsd:element name="SharedWithUsers" ma:index="4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7100A0-26A5-4EF1-8AC8-6174E29D91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6404AE-0AD9-4099-B67A-253A697BEA0C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metadata/properties"/>
    <ds:schemaRef ds:uri="2ec4c0bf-c95c-4834-a6f2-fa418c1350fd"/>
    <ds:schemaRef ds:uri="92f4ef6d-3abd-4018-9223-5900f694f37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B07597E-E666-4BCF-A530-29D71DFABA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f4ef6d-3abd-4018-9223-5900f694f37e"/>
    <ds:schemaRef ds:uri="2ec4c0bf-c95c-4834-a6f2-fa418c1350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RRC Component Rates (RRC-1)</vt:lpstr>
      <vt:lpstr>Revs by Rate Class (EE&amp;C2_p1)</vt:lpstr>
      <vt:lpstr>Monthly Revenue Req.(EE&amp;C2_p2)</vt:lpstr>
      <vt:lpstr>Reconciliation (EE&amp;C2_p3)</vt:lpstr>
      <vt:lpstr>Projected Rev.Req (EE&amp;C2_p4)</vt:lpstr>
      <vt:lpstr>Rate Calculation (EE&amp;C2_p5)</vt:lpstr>
      <vt:lpstr>Journal Entries (EE&amp;C2_p6)</vt:lpstr>
      <vt:lpstr>Rate Impacts (EE&amp;C2_p7)</vt:lpstr>
      <vt:lpstr>kWh Forecast</vt:lpstr>
      <vt:lpstr>CAP-1 WACC</vt:lpstr>
      <vt:lpstr>CAP-2 Program Expenses</vt:lpstr>
      <vt:lpstr>CAP-3 EE&amp;C</vt:lpstr>
      <vt:lpstr>CAP-4 Rate Calculation</vt:lpstr>
      <vt:lpstr>CAP-9 Proforma BS &amp; IS+</vt:lpstr>
      <vt:lpstr>EEC-2 Budget</vt:lpstr>
      <vt:lpstr>Financing Unamortized Balance</vt:lpstr>
      <vt:lpstr>10+2 Forecast</vt:lpstr>
      <vt:lpstr>EEC TRI2 _Backup</vt:lpstr>
      <vt:lpstr>'Journal Entries (EE&amp;C2_p6)'!Print_Area</vt:lpstr>
      <vt:lpstr>'Monthly Revenue Req.(EE&amp;C2_p2)'!Print_Area</vt:lpstr>
      <vt:lpstr>'Projected Rev.Req (EE&amp;C2_p4)'!Print_Area</vt:lpstr>
      <vt:lpstr>'Rate Calculation (EE&amp;C2_p5)'!Print_Area</vt:lpstr>
      <vt:lpstr>'Rate Impacts (EE&amp;C2_p7)'!Print_Area</vt:lpstr>
      <vt:lpstr>'Reconciliation (EE&amp;C2_p3)'!Print_Area</vt:lpstr>
      <vt:lpstr>'Revs by Rate Class (EE&amp;C2_p1)'!Print_Area</vt:lpstr>
      <vt:lpstr>'RRC Component Rates (RRC-1)'!Print_Area</vt:lpstr>
    </vt:vector>
  </TitlesOfParts>
  <Manager/>
  <Company>FirstEnergy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Siedt, Kevin M</dc:creator>
  <cp:keywords/>
  <dc:description/>
  <cp:lastModifiedBy>O'Toole, James E</cp:lastModifiedBy>
  <cp:revision/>
  <cp:lastPrinted>2026-02-23T18:07:36Z</cp:lastPrinted>
  <dcterms:created xsi:type="dcterms:W3CDTF">2021-12-10T17:16:59Z</dcterms:created>
  <dcterms:modified xsi:type="dcterms:W3CDTF">2026-03-02T21:04:32Z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0x010100C0B0BD6E1BD95C42AD3949AC2A2BED5F</vt:lpwstr>
  </property>
  <property fmtid="{D5CDD505-2E9C-101B-9397-08002B2CF9AE}" pid="3" name="MediaServiceImageTags">
    <vt:lpwstr/>
  </property>
</Properties>
</file>