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ttps://firstenergycorp-my.sharepoint.com/personal/1002311_fenetwork_com/Documents/Desktop/"/>
    </mc:Choice>
  </mc:AlternateContent>
  <xr:revisionPtr revIDLastSave="61" documentId="8_{E691F58A-5C9B-4CD5-BD03-EC5D20BAE19C}" xr6:coauthVersionLast="47" xr6:coauthVersionMax="47" xr10:uidLastSave="{0CFADE03-8EC3-454E-A911-E157770B7E21}"/>
  <bookViews>
    <workbookView xWindow="-110" yWindow="-110" windowWidth="38620" windowHeight="15500" tabRatio="852" firstSheet="2" activeTab="2" xr2:uid="{C52B4F1F-8D61-4A70-9FB0-295BFF3C1109}"/>
  </bookViews>
  <sheets>
    <sheet name="Schedule of Attachments" sheetId="17" state="hidden" r:id="rId1"/>
    <sheet name="Pre-Filing Mtg" sheetId="19" state="hidden" r:id="rId2"/>
    <sheet name="RRC Component Rates (RRC-1 p1)" sheetId="9" r:id="rId3"/>
    <sheet name="RRC Incremental Incr (RRC-1_p2)" sheetId="18" r:id="rId4"/>
    <sheet name="Revs by Rate Class (EE&amp;C-1_p1)" sheetId="2" r:id="rId5"/>
    <sheet name="Monthly Revenue Req.(EE&amp;C-1_p2)" sheetId="1" r:id="rId6"/>
    <sheet name="Reconciliation (EE&amp;C-1_p3)" sheetId="3" r:id="rId7"/>
    <sheet name="Projected Rev.Req (EE&amp;C-1_p4)" sheetId="11" r:id="rId8"/>
    <sheet name="Rate Calculation (EE&amp;C-1_p5)" sheetId="4" r:id="rId9"/>
    <sheet name="Journal Entries (EE&amp;C-1_ p6)" sheetId="5" r:id="rId10"/>
    <sheet name="Rate Impacts (EE&amp;C-1_p7)" sheetId="6" r:id="rId11"/>
    <sheet name="kWh Forecast" sheetId="13" r:id="rId12"/>
    <sheet name="CAP-1 WACC" sheetId="14" r:id="rId13"/>
    <sheet name="10-Yr Amort" sheetId="15" r:id="rId14"/>
    <sheet name="1-Yr Amort" sheetId="16" r:id="rId15"/>
    <sheet name="Projected Rev.Req (EE&amp;C-4)-2022" sheetId="8" state="hidden" r:id="rId16"/>
    <sheet name="kwh fcst" sheetId="7" state="hidden" r:id="rId17"/>
    <sheet name="EEC TRI1 Expansion_Backup" sheetId="10" state="hidden" r:id="rId18"/>
    <sheet name="EEC TRI2 _Backup" sheetId="12" state="hidden" r:id="rId19"/>
  </sheets>
  <definedNames>
    <definedName name="Calendar_Days_Look_Up_Table">'10-Yr Amort'!$F$8:$H$21</definedName>
    <definedName name="Calendar_Days_Table_1_Yr">'1-Yr Amort'!$F$8:$H$21</definedName>
    <definedName name="_xlnm.Print_Area" localSheetId="9">'Journal Entries (EE&amp;C-1_ p6)'!$A$1:$U$33</definedName>
    <definedName name="_xlnm.Print_Area" localSheetId="5">'Monthly Revenue Req.(EE&amp;C-1_p2)'!$A$1:$S$76</definedName>
    <definedName name="_xlnm.Print_Area" localSheetId="7">'Projected Rev.Req (EE&amp;C-1_p4)'!$A$1:$S$29</definedName>
    <definedName name="_xlnm.Print_Area" localSheetId="8">'Rate Calculation (EE&amp;C-1_p5)'!$A$1:$C$37</definedName>
    <definedName name="_xlnm.Print_Area" localSheetId="10">'Rate Impacts (EE&amp;C-1_p7)'!$A$1:$A$45</definedName>
    <definedName name="_xlnm.Print_Area" localSheetId="6">'Reconciliation (EE&amp;C-1_p3)'!$A$1:$O$92</definedName>
    <definedName name="_xlnm.Print_Area" localSheetId="4">'Revs by Rate Class (EE&amp;C-1_p1)'!$A$1:$I$42</definedName>
    <definedName name="_xlnm.Print_Area" localSheetId="2">'RRC Component Rates (RRC-1 p1)'!$B$2:$G$33</definedName>
    <definedName name="_xlnm.Print_Area" localSheetId="3">'RRC Incremental Incr (RRC-1_p2)'!$A$1:$G$53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9" i="15" l="1"/>
  <c r="O79" i="15"/>
  <c r="N79" i="15"/>
  <c r="P78" i="15"/>
  <c r="N78" i="15"/>
  <c r="O78" i="15"/>
  <c r="F54" i="9"/>
  <c r="F43" i="9"/>
  <c r="C68" i="9"/>
  <c r="M17" i="19"/>
  <c r="N29" i="18"/>
  <c r="N28" i="18"/>
  <c r="N30" i="18" s="1"/>
  <c r="N27" i="18"/>
  <c r="N26" i="18"/>
  <c r="N25" i="18"/>
  <c r="N24" i="18"/>
  <c r="N18" i="18"/>
  <c r="N17" i="18"/>
  <c r="N16" i="18"/>
  <c r="N15" i="18"/>
  <c r="N14" i="18"/>
  <c r="N13" i="18"/>
  <c r="N19" i="18"/>
  <c r="C16" i="19"/>
  <c r="O51" i="9"/>
  <c r="O53" i="9" s="1"/>
  <c r="N20" i="9"/>
  <c r="N18" i="9"/>
  <c r="N17" i="9"/>
  <c r="N16" i="9"/>
  <c r="N15" i="9"/>
  <c r="F61" i="9" l="1"/>
  <c r="F59" i="9"/>
  <c r="J59" i="9" s="1"/>
  <c r="F58" i="9"/>
  <c r="F57" i="9"/>
  <c r="J57" i="9" s="1"/>
  <c r="F56" i="9"/>
  <c r="B65" i="9"/>
  <c r="F53" i="9"/>
  <c r="F50" i="9"/>
  <c r="G50" i="9" s="1"/>
  <c r="F48" i="9"/>
  <c r="G48" i="9" s="1"/>
  <c r="F47" i="9"/>
  <c r="F46" i="9"/>
  <c r="G46" i="9" s="1"/>
  <c r="F45" i="9"/>
  <c r="G45" i="9" s="1"/>
  <c r="C55" i="9"/>
  <c r="F55" i="9"/>
  <c r="F25" i="9"/>
  <c r="F13" i="9"/>
  <c r="J56" i="9"/>
  <c r="I53" i="9"/>
  <c r="I62" i="9"/>
  <c r="J58" i="9"/>
  <c r="I54" i="9"/>
  <c r="J51" i="9"/>
  <c r="I51" i="9"/>
  <c r="F60" i="18"/>
  <c r="C61" i="9" s="1"/>
  <c r="F57" i="18"/>
  <c r="C58" i="9" s="1"/>
  <c r="F56" i="18"/>
  <c r="C57" i="9" s="1"/>
  <c r="F55" i="18"/>
  <c r="O48" i="19"/>
  <c r="O47" i="19"/>
  <c r="O46" i="19"/>
  <c r="O45" i="19"/>
  <c r="O44" i="19"/>
  <c r="O43" i="19"/>
  <c r="C13" i="19"/>
  <c r="O30" i="19" s="1"/>
  <c r="M11" i="19"/>
  <c r="C10" i="19"/>
  <c r="M8" i="19"/>
  <c r="L20" i="19" s="1"/>
  <c r="O55" i="19" l="1"/>
  <c r="N52" i="19" s="1"/>
  <c r="J61" i="9"/>
  <c r="G57" i="9"/>
  <c r="K57" i="9"/>
  <c r="G61" i="9"/>
  <c r="K61" i="9"/>
  <c r="G47" i="9"/>
  <c r="K58" i="9"/>
  <c r="G58" i="9"/>
  <c r="O32" i="19"/>
  <c r="P32" i="19" s="1"/>
  <c r="O33" i="19"/>
  <c r="P33" i="19" s="1"/>
  <c r="O34" i="19"/>
  <c r="P34" i="19" s="1"/>
  <c r="O36" i="19"/>
  <c r="P36" i="19" s="1"/>
  <c r="O37" i="19"/>
  <c r="P37" i="19" s="1"/>
  <c r="O35" i="19"/>
  <c r="P35" i="19" s="1"/>
  <c r="O42" i="19"/>
  <c r="O49" i="19"/>
  <c r="O56" i="19" s="1"/>
  <c r="C50" i="18"/>
  <c r="R55" i="19" l="1"/>
  <c r="N53" i="19" s="1"/>
  <c r="P38" i="19"/>
  <c r="O38" i="19"/>
  <c r="H34" i="18" l="1"/>
  <c r="H23" i="18"/>
  <c r="H18" i="18"/>
  <c r="M18" i="18" s="1"/>
  <c r="H12" i="18"/>
  <c r="C34" i="18"/>
  <c r="C23" i="18"/>
  <c r="E19" i="18"/>
  <c r="E8" i="19" s="1"/>
  <c r="E40" i="18"/>
  <c r="E38" i="18"/>
  <c r="R46" i="19" s="1"/>
  <c r="E37" i="18"/>
  <c r="R45" i="19" s="1"/>
  <c r="E36" i="18"/>
  <c r="R44" i="19" s="1"/>
  <c r="E35" i="18"/>
  <c r="C40" i="18"/>
  <c r="C39" i="18"/>
  <c r="C38" i="18"/>
  <c r="C37" i="18"/>
  <c r="C36" i="18"/>
  <c r="C35" i="18"/>
  <c r="C56" i="9" s="1"/>
  <c r="F18" i="18"/>
  <c r="C16" i="18"/>
  <c r="F15" i="18"/>
  <c r="F14" i="18"/>
  <c r="E30" i="18"/>
  <c r="E11" i="19" s="1"/>
  <c r="C29" i="18"/>
  <c r="F29" i="18" s="1"/>
  <c r="C28" i="18"/>
  <c r="F28" i="18" s="1"/>
  <c r="C27" i="18"/>
  <c r="F27" i="18" s="1"/>
  <c r="C26" i="18"/>
  <c r="F26" i="18" s="1"/>
  <c r="C25" i="18"/>
  <c r="F25" i="18" s="1"/>
  <c r="C24" i="18"/>
  <c r="F24" i="18" s="1"/>
  <c r="F32" i="2"/>
  <c r="E32" i="2"/>
  <c r="D32" i="2"/>
  <c r="G31" i="2"/>
  <c r="F31" i="2"/>
  <c r="E31" i="2"/>
  <c r="D31" i="2"/>
  <c r="G30" i="2"/>
  <c r="F30" i="2"/>
  <c r="E30" i="2"/>
  <c r="D30" i="2"/>
  <c r="G29" i="2"/>
  <c r="F29" i="2"/>
  <c r="E29" i="2"/>
  <c r="D29" i="2"/>
  <c r="G31" i="9"/>
  <c r="K11" i="19" l="1"/>
  <c r="H11" i="19"/>
  <c r="H8" i="19"/>
  <c r="I8" i="19" s="1"/>
  <c r="K8" i="19"/>
  <c r="C11" i="19"/>
  <c r="K12" i="19" s="1"/>
  <c r="C14" i="19"/>
  <c r="K15" i="19" s="1"/>
  <c r="K56" i="9"/>
  <c r="G56" i="9"/>
  <c r="J35" i="18"/>
  <c r="R43" i="19"/>
  <c r="R35" i="19"/>
  <c r="S35" i="19" s="1"/>
  <c r="S46" i="19"/>
  <c r="S45" i="19"/>
  <c r="R34" i="19"/>
  <c r="S34" i="19" s="1"/>
  <c r="J40" i="18"/>
  <c r="R48" i="19"/>
  <c r="R33" i="19"/>
  <c r="S33" i="19" s="1"/>
  <c r="S44" i="19"/>
  <c r="F16" i="18"/>
  <c r="F58" i="18"/>
  <c r="C59" i="9" s="1"/>
  <c r="H13" i="18"/>
  <c r="M13" i="18" s="1"/>
  <c r="H14" i="18"/>
  <c r="M14" i="18" s="1"/>
  <c r="H15" i="18"/>
  <c r="M15" i="18" s="1"/>
  <c r="H16" i="18"/>
  <c r="M16" i="18" s="1"/>
  <c r="H17" i="18"/>
  <c r="M17" i="18" s="1"/>
  <c r="F36" i="18"/>
  <c r="F37" i="18"/>
  <c r="F38" i="18"/>
  <c r="F40" i="18"/>
  <c r="J37" i="18"/>
  <c r="J36" i="18"/>
  <c r="F35" i="18"/>
  <c r="J38" i="18"/>
  <c r="C41" i="18"/>
  <c r="F13" i="18"/>
  <c r="C30" i="18"/>
  <c r="F30" i="18"/>
  <c r="F11" i="19" s="1"/>
  <c r="H58" i="1"/>
  <c r="H76" i="1" s="1"/>
  <c r="M52" i="1"/>
  <c r="N52" i="1"/>
  <c r="M53" i="1"/>
  <c r="I11" i="19" l="1"/>
  <c r="L12" i="19"/>
  <c r="M19" i="18"/>
  <c r="S48" i="19"/>
  <c r="R37" i="19"/>
  <c r="S37" i="19" s="1"/>
  <c r="R32" i="19"/>
  <c r="S43" i="19"/>
  <c r="H24" i="18"/>
  <c r="H29" i="18"/>
  <c r="H28" i="18"/>
  <c r="H27" i="18"/>
  <c r="H26" i="18"/>
  <c r="H25" i="18"/>
  <c r="R76" i="1"/>
  <c r="N75" i="1"/>
  <c r="N74" i="1"/>
  <c r="N73" i="1"/>
  <c r="N72" i="1"/>
  <c r="N71" i="1"/>
  <c r="N70" i="1"/>
  <c r="N76" i="1" s="1"/>
  <c r="M76" i="1"/>
  <c r="K76" i="1"/>
  <c r="K75" i="1"/>
  <c r="K74" i="1"/>
  <c r="K73" i="1"/>
  <c r="K72" i="1"/>
  <c r="K71" i="1"/>
  <c r="K70" i="1"/>
  <c r="I76" i="1"/>
  <c r="N57" i="1"/>
  <c r="N58" i="1" s="1"/>
  <c r="N56" i="1"/>
  <c r="N55" i="1"/>
  <c r="N54" i="1"/>
  <c r="N53" i="1"/>
  <c r="M58" i="1"/>
  <c r="M57" i="1"/>
  <c r="M56" i="1"/>
  <c r="M55" i="1"/>
  <c r="M54" i="1"/>
  <c r="K58" i="1"/>
  <c r="K57" i="1"/>
  <c r="K56" i="1"/>
  <c r="K55" i="1"/>
  <c r="K54" i="1"/>
  <c r="K53" i="1"/>
  <c r="K52" i="1"/>
  <c r="M25" i="18" l="1"/>
  <c r="C46" i="9"/>
  <c r="M26" i="18"/>
  <c r="C47" i="9"/>
  <c r="M28" i="18"/>
  <c r="C49" i="9"/>
  <c r="M27" i="18"/>
  <c r="C48" i="9"/>
  <c r="M29" i="18"/>
  <c r="C50" i="9"/>
  <c r="M24" i="18"/>
  <c r="C45" i="9"/>
  <c r="S32" i="19"/>
  <c r="K59" i="9"/>
  <c r="G59" i="9"/>
  <c r="H30" i="18"/>
  <c r="EM8" i="15"/>
  <c r="EN8" i="15" s="1"/>
  <c r="EO8" i="15" s="1"/>
  <c r="EP8" i="15" s="1"/>
  <c r="EQ8" i="15" s="1"/>
  <c r="ER8" i="15" s="1"/>
  <c r="ES8" i="15" s="1"/>
  <c r="ET8" i="15" s="1"/>
  <c r="EU8" i="15" s="1"/>
  <c r="EA8" i="15"/>
  <c r="EB8" i="15" s="1"/>
  <c r="EC8" i="15" s="1"/>
  <c r="ED8" i="15" s="1"/>
  <c r="EE8" i="15" s="1"/>
  <c r="EF8" i="15" s="1"/>
  <c r="EG8" i="15" s="1"/>
  <c r="EH8" i="15" s="1"/>
  <c r="EI8" i="15" s="1"/>
  <c r="EJ8" i="15" s="1"/>
  <c r="EK8" i="15" s="1"/>
  <c r="DO8" i="15"/>
  <c r="DP8" i="15" s="1"/>
  <c r="DQ8" i="15" s="1"/>
  <c r="DR8" i="15" s="1"/>
  <c r="DS8" i="15" s="1"/>
  <c r="DT8" i="15" s="1"/>
  <c r="DU8" i="15" s="1"/>
  <c r="DV8" i="15" s="1"/>
  <c r="DW8" i="15" s="1"/>
  <c r="DX8" i="15" s="1"/>
  <c r="DY8" i="15" s="1"/>
  <c r="DD8" i="15"/>
  <c r="DE8" i="15" s="1"/>
  <c r="DF8" i="15" s="1"/>
  <c r="DG8" i="15" s="1"/>
  <c r="DH8" i="15" s="1"/>
  <c r="DI8" i="15" s="1"/>
  <c r="DJ8" i="15" s="1"/>
  <c r="DK8" i="15" s="1"/>
  <c r="DL8" i="15" s="1"/>
  <c r="DM8" i="15" s="1"/>
  <c r="DC8" i="15"/>
  <c r="EU69" i="15"/>
  <c r="EV69" i="15"/>
  <c r="EK69" i="15"/>
  <c r="EL69" i="15"/>
  <c r="EM69" i="15"/>
  <c r="EN69" i="15"/>
  <c r="EO69" i="15" s="1"/>
  <c r="EP69" i="15" s="1"/>
  <c r="EQ69" i="15" s="1"/>
  <c r="ER69" i="15" s="1"/>
  <c r="ES69" i="15" s="1"/>
  <c r="ET69" i="15" s="1"/>
  <c r="EA69" i="15"/>
  <c r="EB69" i="15"/>
  <c r="EC69" i="15" s="1"/>
  <c r="ED69" i="15" s="1"/>
  <c r="EE69" i="15" s="1"/>
  <c r="EF69" i="15" s="1"/>
  <c r="EG69" i="15" s="1"/>
  <c r="EH69" i="15" s="1"/>
  <c r="EI69" i="15" s="1"/>
  <c r="EJ69" i="15" s="1"/>
  <c r="DO69" i="15"/>
  <c r="DP69" i="15" s="1"/>
  <c r="DQ69" i="15" s="1"/>
  <c r="DR69" i="15" s="1"/>
  <c r="DS69" i="15" s="1"/>
  <c r="DT69" i="15" s="1"/>
  <c r="DU69" i="15" s="1"/>
  <c r="DV69" i="15" s="1"/>
  <c r="DW69" i="15" s="1"/>
  <c r="DX69" i="15" s="1"/>
  <c r="DY69" i="15" s="1"/>
  <c r="DZ69" i="15" s="1"/>
  <c r="DG69" i="15"/>
  <c r="DH69" i="15" s="1"/>
  <c r="DI69" i="15" s="1"/>
  <c r="DJ69" i="15" s="1"/>
  <c r="DK69" i="15" s="1"/>
  <c r="DL69" i="15" s="1"/>
  <c r="DM69" i="15" s="1"/>
  <c r="DN69" i="15" s="1"/>
  <c r="CK69" i="15"/>
  <c r="CL69" i="15" s="1"/>
  <c r="CM69" i="15" s="1"/>
  <c r="CN69" i="15" s="1"/>
  <c r="CO69" i="15" s="1"/>
  <c r="CP69" i="15" s="1"/>
  <c r="CQ69" i="15" s="1"/>
  <c r="CR69" i="15" s="1"/>
  <c r="CS69" i="15" s="1"/>
  <c r="CT69" i="15" s="1"/>
  <c r="CU69" i="15" s="1"/>
  <c r="CV69" i="15" s="1"/>
  <c r="CW69" i="15" s="1"/>
  <c r="CX69" i="15" s="1"/>
  <c r="CY69" i="15" s="1"/>
  <c r="CZ69" i="15" s="1"/>
  <c r="DA69" i="15" s="1"/>
  <c r="DB69" i="15" s="1"/>
  <c r="DC69" i="15" s="1"/>
  <c r="DD69" i="15" s="1"/>
  <c r="DE69" i="15" s="1"/>
  <c r="DF69" i="15" s="1"/>
  <c r="AH69" i="15"/>
  <c r="AI69" i="15" s="1"/>
  <c r="AJ69" i="15" s="1"/>
  <c r="AK69" i="15" s="1"/>
  <c r="AL69" i="15" s="1"/>
  <c r="AM69" i="15" s="1"/>
  <c r="AN69" i="15" s="1"/>
  <c r="AO69" i="15" s="1"/>
  <c r="AP69" i="15" s="1"/>
  <c r="AQ69" i="15" s="1"/>
  <c r="AR69" i="15" s="1"/>
  <c r="AS69" i="15" s="1"/>
  <c r="AT69" i="15" s="1"/>
  <c r="AU69" i="15" s="1"/>
  <c r="AV69" i="15" s="1"/>
  <c r="AW69" i="15" s="1"/>
  <c r="AX69" i="15" s="1"/>
  <c r="AY69" i="15" s="1"/>
  <c r="AZ69" i="15" s="1"/>
  <c r="BA69" i="15" s="1"/>
  <c r="BB69" i="15" s="1"/>
  <c r="BC69" i="15" s="1"/>
  <c r="BD69" i="15" s="1"/>
  <c r="BE69" i="15" s="1"/>
  <c r="BF69" i="15" s="1"/>
  <c r="BG69" i="15" s="1"/>
  <c r="BH69" i="15" s="1"/>
  <c r="BI69" i="15" s="1"/>
  <c r="BJ69" i="15" s="1"/>
  <c r="BK69" i="15" s="1"/>
  <c r="BL69" i="15" s="1"/>
  <c r="BM69" i="15" s="1"/>
  <c r="BN69" i="15" s="1"/>
  <c r="BO69" i="15" s="1"/>
  <c r="BP69" i="15" s="1"/>
  <c r="BQ69" i="15" s="1"/>
  <c r="BR69" i="15" s="1"/>
  <c r="BS69" i="15" s="1"/>
  <c r="BT69" i="15" s="1"/>
  <c r="BU69" i="15" s="1"/>
  <c r="BV69" i="15" s="1"/>
  <c r="BW69" i="15" s="1"/>
  <c r="BX69" i="15" s="1"/>
  <c r="BY69" i="15" s="1"/>
  <c r="BZ69" i="15" s="1"/>
  <c r="CA69" i="15" s="1"/>
  <c r="CB69" i="15" s="1"/>
  <c r="CC69" i="15" s="1"/>
  <c r="CD69" i="15" s="1"/>
  <c r="CE69" i="15" s="1"/>
  <c r="CF69" i="15" s="1"/>
  <c r="CG69" i="15" s="1"/>
  <c r="CH69" i="15" s="1"/>
  <c r="CI69" i="15" s="1"/>
  <c r="CJ69" i="15" s="1"/>
  <c r="K45" i="9" l="1"/>
  <c r="C51" i="9"/>
  <c r="K51" i="9" s="1"/>
  <c r="D45" i="9"/>
  <c r="N45" i="9"/>
  <c r="K50" i="9"/>
  <c r="D50" i="9"/>
  <c r="L50" i="9" s="1"/>
  <c r="N50" i="9"/>
  <c r="N48" i="9"/>
  <c r="D48" i="9"/>
  <c r="L48" i="9" s="1"/>
  <c r="K48" i="9"/>
  <c r="D49" i="9"/>
  <c r="L49" i="9" s="1"/>
  <c r="K49" i="9"/>
  <c r="M30" i="18"/>
  <c r="D47" i="9"/>
  <c r="L47" i="9" s="1"/>
  <c r="K47" i="9"/>
  <c r="N47" i="9"/>
  <c r="K46" i="9"/>
  <c r="D46" i="9"/>
  <c r="L46" i="9" s="1"/>
  <c r="N46" i="9"/>
  <c r="H31" i="18"/>
  <c r="L45" i="9" l="1"/>
  <c r="D51" i="9"/>
  <c r="L51" i="9" s="1"/>
  <c r="J31" i="9" l="1"/>
  <c r="K40" i="18" s="1"/>
  <c r="I32" i="9"/>
  <c r="R58" i="1"/>
  <c r="R22" i="1"/>
  <c r="R40" i="1" s="1"/>
  <c r="Q66" i="1"/>
  <c r="Q48" i="1"/>
  <c r="F14" i="14"/>
  <c r="K39" i="1"/>
  <c r="K38" i="1"/>
  <c r="K37" i="1"/>
  <c r="K36" i="1"/>
  <c r="K35" i="1"/>
  <c r="K34" i="1"/>
  <c r="K21" i="1"/>
  <c r="K20" i="1"/>
  <c r="K19" i="1"/>
  <c r="K18" i="1"/>
  <c r="K17" i="1"/>
  <c r="K16" i="1"/>
  <c r="L16" i="1" s="1"/>
  <c r="J15" i="1"/>
  <c r="I75" i="1"/>
  <c r="I74" i="1"/>
  <c r="I73" i="1"/>
  <c r="I72" i="1"/>
  <c r="I71" i="1"/>
  <c r="I70" i="1"/>
  <c r="I57" i="1"/>
  <c r="I56" i="1"/>
  <c r="I55" i="1"/>
  <c r="I54" i="1"/>
  <c r="I53" i="1"/>
  <c r="I52" i="1"/>
  <c r="I58" i="1" s="1"/>
  <c r="I39" i="1"/>
  <c r="I38" i="1"/>
  <c r="I37" i="1"/>
  <c r="I36" i="1"/>
  <c r="I35" i="1"/>
  <c r="I34" i="1"/>
  <c r="I21" i="1"/>
  <c r="I20" i="1"/>
  <c r="I19" i="1"/>
  <c r="I18" i="1"/>
  <c r="I17" i="1"/>
  <c r="I16" i="1"/>
  <c r="G16" i="1"/>
  <c r="G17" i="1" s="1"/>
  <c r="G18" i="1" s="1"/>
  <c r="G19" i="1" s="1"/>
  <c r="G20" i="1" s="1"/>
  <c r="G21" i="1" s="1"/>
  <c r="F58" i="1"/>
  <c r="F76" i="1" s="1"/>
  <c r="F22" i="1"/>
  <c r="F40" i="1" s="1"/>
  <c r="E58" i="1"/>
  <c r="L17" i="1" l="1"/>
  <c r="L18" i="1" s="1"/>
  <c r="L19" i="1" s="1"/>
  <c r="L20" i="1" s="1"/>
  <c r="J16" i="1"/>
  <c r="G34" i="1"/>
  <c r="G35" i="1" s="1"/>
  <c r="G36" i="1" s="1"/>
  <c r="G37" i="1" s="1"/>
  <c r="G38" i="1" s="1"/>
  <c r="G39" i="1" s="1"/>
  <c r="G51" i="1" s="1"/>
  <c r="G52" i="1" s="1"/>
  <c r="G53" i="1" s="1"/>
  <c r="G54" i="1" s="1"/>
  <c r="G55" i="1" s="1"/>
  <c r="G56" i="1" s="1"/>
  <c r="G57" i="1" s="1"/>
  <c r="L21" i="1"/>
  <c r="L34" i="1" s="1"/>
  <c r="L35" i="1" s="1"/>
  <c r="L36" i="1" s="1"/>
  <c r="L37" i="1" s="1"/>
  <c r="L38" i="1" s="1"/>
  <c r="L39" i="1" s="1"/>
  <c r="L51" i="1" s="1"/>
  <c r="L52" i="1" s="1"/>
  <c r="L53" i="1" s="1"/>
  <c r="L54" i="1" s="1"/>
  <c r="L55" i="1" s="1"/>
  <c r="L56" i="1" s="1"/>
  <c r="L57" i="1" s="1"/>
  <c r="L70" i="1" s="1"/>
  <c r="L71" i="1" s="1"/>
  <c r="L72" i="1" s="1"/>
  <c r="L73" i="1" s="1"/>
  <c r="L74" i="1" s="1"/>
  <c r="L75" i="1" s="1"/>
  <c r="L15" i="11" s="1"/>
  <c r="K22" i="1"/>
  <c r="K40" i="1" s="1"/>
  <c r="J17" i="1"/>
  <c r="J18" i="1" s="1"/>
  <c r="J19" i="1" s="1"/>
  <c r="J20" i="1" s="1"/>
  <c r="J21" i="1" s="1"/>
  <c r="J34" i="1" s="1"/>
  <c r="I22" i="1"/>
  <c r="I40" i="1" s="1"/>
  <c r="G70" i="1" l="1"/>
  <c r="G71" i="1" s="1"/>
  <c r="G72" i="1" s="1"/>
  <c r="G73" i="1" s="1"/>
  <c r="G74" i="1" s="1"/>
  <c r="G75" i="1" s="1"/>
  <c r="J35" i="1"/>
  <c r="J36" i="1" s="1"/>
  <c r="J37" i="1" s="1"/>
  <c r="J38" i="1" s="1"/>
  <c r="J39" i="1" s="1"/>
  <c r="J51" i="1" s="1"/>
  <c r="J52" i="1" s="1"/>
  <c r="J53" i="1" l="1"/>
  <c r="C58" i="1"/>
  <c r="C76" i="1" s="1"/>
  <c r="J54" i="1" l="1"/>
  <c r="D24" i="13"/>
  <c r="D25" i="13"/>
  <c r="D26" i="13"/>
  <c r="D27" i="13"/>
  <c r="D28" i="13"/>
  <c r="D29" i="13"/>
  <c r="D30" i="13"/>
  <c r="D31" i="13"/>
  <c r="D32" i="13"/>
  <c r="D33" i="13"/>
  <c r="D34" i="13"/>
  <c r="D23" i="13"/>
  <c r="E23" i="13"/>
  <c r="J55" i="1" l="1"/>
  <c r="E34" i="13"/>
  <c r="J56" i="1" l="1"/>
  <c r="T32" i="5"/>
  <c r="S32" i="5"/>
  <c r="R32" i="5"/>
  <c r="Q32" i="5"/>
  <c r="P32" i="5"/>
  <c r="O32" i="5"/>
  <c r="M32" i="5"/>
  <c r="L32" i="5"/>
  <c r="K32" i="5"/>
  <c r="J32" i="5"/>
  <c r="I32" i="5"/>
  <c r="H32" i="5"/>
  <c r="M28" i="5"/>
  <c r="L28" i="5"/>
  <c r="K28" i="5"/>
  <c r="J28" i="5"/>
  <c r="I28" i="5"/>
  <c r="H28" i="5"/>
  <c r="T24" i="5"/>
  <c r="S24" i="5"/>
  <c r="R24" i="5"/>
  <c r="Q24" i="5"/>
  <c r="P24" i="5"/>
  <c r="O24" i="5"/>
  <c r="M24" i="5"/>
  <c r="L24" i="5"/>
  <c r="K24" i="5"/>
  <c r="J24" i="5"/>
  <c r="I24" i="5"/>
  <c r="H24" i="5"/>
  <c r="T20" i="5"/>
  <c r="S20" i="5"/>
  <c r="R20" i="5"/>
  <c r="Q20" i="5"/>
  <c r="P20" i="5"/>
  <c r="O20" i="5"/>
  <c r="M20" i="5"/>
  <c r="L20" i="5"/>
  <c r="K20" i="5"/>
  <c r="J20" i="5"/>
  <c r="I20" i="5"/>
  <c r="H20" i="5"/>
  <c r="U84" i="16"/>
  <c r="U85" i="16"/>
  <c r="AF84" i="16"/>
  <c r="AF85" i="16"/>
  <c r="AE78" i="15"/>
  <c r="N21" i="13"/>
  <c r="N20" i="13"/>
  <c r="N19" i="13"/>
  <c r="N18" i="13"/>
  <c r="N17" i="13"/>
  <c r="N16" i="13"/>
  <c r="N15" i="13"/>
  <c r="J57" i="1" l="1"/>
  <c r="N20" i="5"/>
  <c r="H22" i="1"/>
  <c r="H40" i="1" s="1"/>
  <c r="J70" i="1" l="1"/>
  <c r="V12" i="1"/>
  <c r="J71" i="1" l="1"/>
  <c r="D56" i="3"/>
  <c r="D57" i="3" s="1"/>
  <c r="D58" i="3" s="1"/>
  <c r="D59" i="3" s="1"/>
  <c r="D60" i="3" s="1"/>
  <c r="C56" i="3"/>
  <c r="E56" i="3" s="1"/>
  <c r="C57" i="3"/>
  <c r="C58" i="3"/>
  <c r="C59" i="3"/>
  <c r="C60" i="3"/>
  <c r="C55" i="3"/>
  <c r="B56" i="3"/>
  <c r="B57" i="3" s="1"/>
  <c r="B58" i="3" s="1"/>
  <c r="B59" i="3" s="1"/>
  <c r="B60" i="3" s="1"/>
  <c r="B61" i="3" s="1"/>
  <c r="C47" i="3"/>
  <c r="E59" i="3" l="1"/>
  <c r="E55" i="3"/>
  <c r="C61" i="3"/>
  <c r="E58" i="3"/>
  <c r="E60" i="3"/>
  <c r="E57" i="3"/>
  <c r="J72" i="1"/>
  <c r="E24" i="13"/>
  <c r="E25" i="13"/>
  <c r="E26" i="13"/>
  <c r="E27" i="13"/>
  <c r="E28" i="13"/>
  <c r="E29" i="13"/>
  <c r="E30" i="13"/>
  <c r="E31" i="13"/>
  <c r="E32" i="13"/>
  <c r="E33" i="13"/>
  <c r="L69" i="3"/>
  <c r="L70" i="3" s="1"/>
  <c r="C28" i="11"/>
  <c r="B23" i="11"/>
  <c r="B24" i="11" s="1"/>
  <c r="B25" i="11" s="1"/>
  <c r="B26" i="11" s="1"/>
  <c r="B27" i="11" s="1"/>
  <c r="B17" i="11"/>
  <c r="B18" i="11" s="1"/>
  <c r="B19" i="11" s="1"/>
  <c r="B20" i="11" s="1"/>
  <c r="B21" i="11" s="1"/>
  <c r="C69" i="3"/>
  <c r="B70" i="3"/>
  <c r="B71" i="3" s="1"/>
  <c r="B72" i="3" s="1"/>
  <c r="B73" i="3" s="1"/>
  <c r="B74" i="3" s="1"/>
  <c r="B75" i="3" s="1"/>
  <c r="E70" i="1"/>
  <c r="E35" i="13" l="1"/>
  <c r="C23" i="4" s="1"/>
  <c r="C39" i="4" s="1"/>
  <c r="E61" i="3"/>
  <c r="J73" i="1"/>
  <c r="O28" i="5"/>
  <c r="M69" i="3"/>
  <c r="E71" i="1"/>
  <c r="L71" i="3"/>
  <c r="M70" i="3"/>
  <c r="I41" i="18" l="1"/>
  <c r="F68" i="9" s="1"/>
  <c r="B66" i="9" s="1"/>
  <c r="H35" i="18"/>
  <c r="M35" i="18" s="1"/>
  <c r="N35" i="18" s="1"/>
  <c r="H40" i="18"/>
  <c r="M40" i="18" s="1"/>
  <c r="N40" i="18" s="1"/>
  <c r="H38" i="18"/>
  <c r="M38" i="18" s="1"/>
  <c r="N38" i="18" s="1"/>
  <c r="H37" i="18"/>
  <c r="M37" i="18" s="1"/>
  <c r="N37" i="18" s="1"/>
  <c r="H36" i="18"/>
  <c r="M36" i="18" s="1"/>
  <c r="N36" i="18" s="1"/>
  <c r="J74" i="1"/>
  <c r="P28" i="5"/>
  <c r="E72" i="1"/>
  <c r="M71" i="3"/>
  <c r="L72" i="3"/>
  <c r="C51" i="18" l="1"/>
  <c r="C52" i="18" s="1"/>
  <c r="J75" i="1"/>
  <c r="Q28" i="5"/>
  <c r="E73" i="1"/>
  <c r="L73" i="3"/>
  <c r="M72" i="3"/>
  <c r="R28" i="5" l="1"/>
  <c r="E74" i="1"/>
  <c r="L74" i="3"/>
  <c r="M74" i="3" s="1"/>
  <c r="M73" i="3"/>
  <c r="S28" i="5" l="1"/>
  <c r="E75" i="1"/>
  <c r="M75" i="1"/>
  <c r="M74" i="1"/>
  <c r="M72" i="1"/>
  <c r="B72" i="1"/>
  <c r="B73" i="1" s="1"/>
  <c r="B74" i="1" s="1"/>
  <c r="B75" i="1" s="1"/>
  <c r="B76" i="1" s="1"/>
  <c r="M71" i="1"/>
  <c r="B71" i="1"/>
  <c r="M70" i="1"/>
  <c r="T28" i="5" l="1"/>
  <c r="E76" i="1"/>
  <c r="M73" i="1"/>
  <c r="C44" i="3" l="1"/>
  <c r="C45" i="3"/>
  <c r="C46" i="3"/>
  <c r="C43" i="3"/>
  <c r="L21" i="13"/>
  <c r="L22" i="13"/>
  <c r="L23" i="13"/>
  <c r="L24" i="13"/>
  <c r="L25" i="13"/>
  <c r="L26" i="13"/>
  <c r="L27" i="13"/>
  <c r="L28" i="13"/>
  <c r="L29" i="13"/>
  <c r="L30" i="13"/>
  <c r="L31" i="13"/>
  <c r="L32" i="13"/>
  <c r="K21" i="13"/>
  <c r="K22" i="13"/>
  <c r="K23" i="13"/>
  <c r="K24" i="13"/>
  <c r="K25" i="13"/>
  <c r="K26" i="13"/>
  <c r="K27" i="13"/>
  <c r="K28" i="13"/>
  <c r="K29" i="13"/>
  <c r="K30" i="13"/>
  <c r="K31" i="13"/>
  <c r="K32" i="13"/>
  <c r="J21" i="13"/>
  <c r="J22" i="13"/>
  <c r="J23" i="13"/>
  <c r="M23" i="13" s="1"/>
  <c r="P23" i="13" s="1"/>
  <c r="J24" i="13"/>
  <c r="M24" i="13" s="1"/>
  <c r="J25" i="13"/>
  <c r="J26" i="13"/>
  <c r="J27" i="13"/>
  <c r="J28" i="13"/>
  <c r="J29" i="13"/>
  <c r="J30" i="13"/>
  <c r="J31" i="13"/>
  <c r="J32" i="13"/>
  <c r="I21" i="13"/>
  <c r="I22" i="13"/>
  <c r="I23" i="13"/>
  <c r="I24" i="13"/>
  <c r="I25" i="13"/>
  <c r="I26" i="13"/>
  <c r="I27" i="13"/>
  <c r="M27" i="13" s="1"/>
  <c r="P27" i="13" s="1"/>
  <c r="I28" i="13"/>
  <c r="I29" i="13"/>
  <c r="I30" i="13"/>
  <c r="I31" i="13"/>
  <c r="I32" i="13"/>
  <c r="O21" i="13"/>
  <c r="O22" i="13"/>
  <c r="O23" i="13"/>
  <c r="O24" i="13"/>
  <c r="O25" i="13"/>
  <c r="O26" i="13"/>
  <c r="O27" i="13"/>
  <c r="O28" i="13"/>
  <c r="O29" i="13"/>
  <c r="O30" i="13"/>
  <c r="O31" i="13"/>
  <c r="O32" i="13"/>
  <c r="N22" i="13"/>
  <c r="N23" i="13"/>
  <c r="N24" i="13"/>
  <c r="N25" i="13"/>
  <c r="N26" i="13"/>
  <c r="N27" i="13"/>
  <c r="N28" i="13"/>
  <c r="N29" i="13"/>
  <c r="N30" i="13"/>
  <c r="N31" i="13"/>
  <c r="N32" i="13"/>
  <c r="C74" i="3"/>
  <c r="H28" i="13"/>
  <c r="H29" i="13" s="1"/>
  <c r="H30" i="13" s="1"/>
  <c r="H31" i="13" s="1"/>
  <c r="H32" i="13" s="1"/>
  <c r="N9" i="13"/>
  <c r="P24" i="13" l="1"/>
  <c r="M21" i="13"/>
  <c r="P21" i="13" s="1"/>
  <c r="M22" i="13"/>
  <c r="P22" i="13" s="1"/>
  <c r="H22" i="11"/>
  <c r="H23" i="11" s="1"/>
  <c r="H24" i="11" s="1"/>
  <c r="H25" i="11" s="1"/>
  <c r="H26" i="11" s="1"/>
  <c r="H27" i="11" s="1"/>
  <c r="M30" i="13"/>
  <c r="P30" i="13" s="1"/>
  <c r="M29" i="13"/>
  <c r="P29" i="13" s="1"/>
  <c r="M32" i="13"/>
  <c r="P32" i="13" s="1"/>
  <c r="M31" i="13"/>
  <c r="P31" i="13" s="1"/>
  <c r="M26" i="13"/>
  <c r="P26" i="13" s="1"/>
  <c r="M28" i="13"/>
  <c r="P28" i="13" s="1"/>
  <c r="M25" i="13"/>
  <c r="P25" i="13" s="1"/>
  <c r="H28" i="11" l="1"/>
  <c r="M48" i="3" l="1"/>
  <c r="M47" i="3"/>
  <c r="M46" i="3"/>
  <c r="M45" i="3"/>
  <c r="M44" i="3"/>
  <c r="B44" i="3"/>
  <c r="B45" i="3" s="1"/>
  <c r="B46" i="3" s="1"/>
  <c r="B47" i="3" s="1"/>
  <c r="B48" i="3" s="1"/>
  <c r="B49" i="3" s="1"/>
  <c r="M43" i="3"/>
  <c r="B53" i="1"/>
  <c r="B54" i="1" s="1"/>
  <c r="B55" i="1" s="1"/>
  <c r="B56" i="1" s="1"/>
  <c r="B57" i="1" s="1"/>
  <c r="B58" i="1" s="1"/>
  <c r="R7" i="9" l="1"/>
  <c r="R6" i="9"/>
  <c r="R5" i="9"/>
  <c r="R4" i="9"/>
  <c r="R3" i="9"/>
  <c r="R2" i="9"/>
  <c r="J29" i="9"/>
  <c r="K38" i="18" s="1"/>
  <c r="J28" i="9"/>
  <c r="K37" i="18" s="1"/>
  <c r="J27" i="9"/>
  <c r="K36" i="18" s="1"/>
  <c r="J26" i="9"/>
  <c r="K35" i="18" s="1"/>
  <c r="I24" i="9"/>
  <c r="I23" i="9"/>
  <c r="C19" i="9" l="1"/>
  <c r="D19" i="9" s="1"/>
  <c r="G82" i="3" l="1"/>
  <c r="P80" i="15"/>
  <c r="O80" i="15"/>
  <c r="N80" i="15"/>
  <c r="Q80" i="15" l="1"/>
  <c r="K41" i="2"/>
  <c r="G41" i="2"/>
  <c r="F41" i="2"/>
  <c r="E41" i="2"/>
  <c r="D41" i="2"/>
  <c r="C41" i="2"/>
  <c r="H40" i="2"/>
  <c r="H39" i="2"/>
  <c r="L39" i="2" s="1"/>
  <c r="H38" i="2"/>
  <c r="L38" i="2" s="1"/>
  <c r="H37" i="2"/>
  <c r="L37" i="2" s="1"/>
  <c r="H36" i="2"/>
  <c r="L36" i="2" s="1"/>
  <c r="H35" i="2"/>
  <c r="L35" i="2" s="1"/>
  <c r="H34" i="2"/>
  <c r="H33" i="2"/>
  <c r="H32" i="2"/>
  <c r="C31" i="3" s="1"/>
  <c r="H31" i="2"/>
  <c r="C30" i="3" s="1"/>
  <c r="H30" i="2"/>
  <c r="C29" i="3" s="1"/>
  <c r="H29" i="2"/>
  <c r="C28" i="3" s="1"/>
  <c r="L31" i="2" l="1"/>
  <c r="L40" i="2"/>
  <c r="C48" i="3"/>
  <c r="L34" i="2"/>
  <c r="C33" i="3"/>
  <c r="L33" i="2"/>
  <c r="C32" i="3"/>
  <c r="L29" i="2"/>
  <c r="L30" i="2"/>
  <c r="L32" i="2"/>
  <c r="H41" i="2"/>
  <c r="L41" i="2" s="1"/>
  <c r="G29" i="9" l="1"/>
  <c r="G28" i="9"/>
  <c r="G27" i="9"/>
  <c r="G26" i="9"/>
  <c r="G20" i="9"/>
  <c r="D20" i="9"/>
  <c r="G18" i="9"/>
  <c r="G17" i="9"/>
  <c r="D17" i="9"/>
  <c r="G16" i="9"/>
  <c r="D16" i="9"/>
  <c r="G15" i="9"/>
  <c r="D15" i="9"/>
  <c r="C21" i="9" l="1"/>
  <c r="D21" i="9"/>
  <c r="M69" i="16" l="1"/>
  <c r="AI68" i="16"/>
  <c r="D68" i="16"/>
  <c r="S67" i="16"/>
  <c r="S66" i="16"/>
  <c r="S65" i="16"/>
  <c r="S64" i="16"/>
  <c r="S63" i="16"/>
  <c r="S62" i="16"/>
  <c r="S61" i="16"/>
  <c r="S60" i="16"/>
  <c r="S59" i="16"/>
  <c r="S58" i="16"/>
  <c r="S57" i="16"/>
  <c r="D55" i="16"/>
  <c r="S54" i="16"/>
  <c r="S56" i="16" s="1"/>
  <c r="S53" i="16"/>
  <c r="S52" i="16"/>
  <c r="S51" i="16"/>
  <c r="S50" i="16"/>
  <c r="S49" i="16"/>
  <c r="S48" i="16"/>
  <c r="S47" i="16"/>
  <c r="S46" i="16"/>
  <c r="S45" i="16"/>
  <c r="S44" i="16"/>
  <c r="D42" i="16"/>
  <c r="S41" i="16"/>
  <c r="S43" i="16" s="1"/>
  <c r="S40" i="16"/>
  <c r="S39" i="16"/>
  <c r="S38" i="16"/>
  <c r="S37" i="16"/>
  <c r="S36" i="16"/>
  <c r="S35" i="16"/>
  <c r="S34" i="16"/>
  <c r="S33" i="16"/>
  <c r="S32" i="16"/>
  <c r="S31" i="16"/>
  <c r="D29" i="16"/>
  <c r="S28" i="16"/>
  <c r="S30" i="16" s="1"/>
  <c r="S27" i="16"/>
  <c r="S26" i="16"/>
  <c r="S25" i="16"/>
  <c r="S24" i="16"/>
  <c r="S23" i="16"/>
  <c r="S22" i="16"/>
  <c r="S21" i="16"/>
  <c r="S20" i="16"/>
  <c r="S19" i="16"/>
  <c r="S18" i="16"/>
  <c r="S17" i="16"/>
  <c r="D16" i="16"/>
  <c r="S15" i="16"/>
  <c r="S14" i="16"/>
  <c r="S13" i="16"/>
  <c r="S12" i="16"/>
  <c r="A12" i="16"/>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S11" i="16"/>
  <c r="R11" i="16"/>
  <c r="K11" i="16"/>
  <c r="J11" i="16"/>
  <c r="H11" i="16"/>
  <c r="A11" i="16"/>
  <c r="S10" i="16"/>
  <c r="R10" i="16"/>
  <c r="J10" i="16"/>
  <c r="P9" i="16"/>
  <c r="O9" i="16"/>
  <c r="U8" i="16"/>
  <c r="V8" i="16" s="1"/>
  <c r="W8" i="16" s="1"/>
  <c r="X8" i="16" s="1"/>
  <c r="Y8" i="16" s="1"/>
  <c r="Z8" i="16" s="1"/>
  <c r="AA8" i="16" s="1"/>
  <c r="AB8" i="16" s="1"/>
  <c r="AC8" i="16" s="1"/>
  <c r="AD8" i="16" s="1"/>
  <c r="AE8" i="16" s="1"/>
  <c r="AF8" i="16" s="1"/>
  <c r="T7" i="16"/>
  <c r="K7" i="16"/>
  <c r="H6" i="16"/>
  <c r="I3" i="16"/>
  <c r="N10" i="16" s="1"/>
  <c r="M69" i="15"/>
  <c r="D68" i="15"/>
  <c r="S67" i="15"/>
  <c r="S66" i="15"/>
  <c r="S65" i="15"/>
  <c r="S64" i="15"/>
  <c r="S63" i="15"/>
  <c r="S62" i="15"/>
  <c r="S61" i="15"/>
  <c r="S60" i="15"/>
  <c r="S59" i="15"/>
  <c r="S58" i="15"/>
  <c r="S57" i="15"/>
  <c r="D55" i="15"/>
  <c r="S54" i="15"/>
  <c r="S56" i="15" s="1"/>
  <c r="S53" i="15"/>
  <c r="D53" i="15"/>
  <c r="S52" i="15"/>
  <c r="S51" i="15"/>
  <c r="S50" i="15"/>
  <c r="S49" i="15"/>
  <c r="S48" i="15"/>
  <c r="S47" i="15"/>
  <c r="S46" i="15"/>
  <c r="S45" i="15"/>
  <c r="S44" i="15"/>
  <c r="D42" i="15"/>
  <c r="S41" i="15"/>
  <c r="S43" i="15" s="1"/>
  <c r="S40" i="15"/>
  <c r="S39" i="15"/>
  <c r="S38" i="15"/>
  <c r="S37" i="15"/>
  <c r="S36" i="15"/>
  <c r="S35" i="15"/>
  <c r="S34" i="15"/>
  <c r="S33" i="15"/>
  <c r="S32" i="15"/>
  <c r="S31" i="15"/>
  <c r="D29" i="15"/>
  <c r="S28" i="15"/>
  <c r="S30" i="15" s="1"/>
  <c r="S27" i="15"/>
  <c r="S26" i="15"/>
  <c r="S25" i="15"/>
  <c r="S24" i="15"/>
  <c r="S23" i="15"/>
  <c r="S22" i="15"/>
  <c r="S21" i="15"/>
  <c r="S20" i="15"/>
  <c r="S19" i="15"/>
  <c r="S18" i="15"/>
  <c r="H18" i="15"/>
  <c r="D16" i="15"/>
  <c r="S15" i="15"/>
  <c r="S17" i="15" s="1"/>
  <c r="S14" i="15"/>
  <c r="S13" i="15"/>
  <c r="S12" i="15"/>
  <c r="S11" i="15"/>
  <c r="K11" i="15"/>
  <c r="R11" i="15" s="1"/>
  <c r="J11" i="15"/>
  <c r="H11" i="15"/>
  <c r="A11" i="15"/>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S10" i="15"/>
  <c r="R10" i="15"/>
  <c r="J10" i="15"/>
  <c r="P9" i="15"/>
  <c r="O9" i="15"/>
  <c r="U8" i="15"/>
  <c r="V8" i="15" s="1"/>
  <c r="W8" i="15" s="1"/>
  <c r="X8" i="15" s="1"/>
  <c r="Y8" i="15" s="1"/>
  <c r="Z8" i="15" s="1"/>
  <c r="AA8" i="15" s="1"/>
  <c r="AB8" i="15" s="1"/>
  <c r="AC8" i="15" s="1"/>
  <c r="AD8" i="15" s="1"/>
  <c r="AE8" i="15" s="1"/>
  <c r="AF8" i="15" s="1"/>
  <c r="T7" i="15"/>
  <c r="K7" i="15"/>
  <c r="H6" i="15"/>
  <c r="I3" i="15"/>
  <c r="N56" i="15" l="1"/>
  <c r="N59" i="15"/>
  <c r="N57" i="15"/>
  <c r="N58" i="15"/>
  <c r="O10" i="16"/>
  <c r="Q10" i="16"/>
  <c r="K12" i="16"/>
  <c r="N11" i="16"/>
  <c r="N11" i="15"/>
  <c r="N10" i="15"/>
  <c r="K12" i="15"/>
  <c r="W10" i="16" l="1"/>
  <c r="U10" i="16"/>
  <c r="AE10" i="16"/>
  <c r="J12" i="16"/>
  <c r="N12" i="16" s="1"/>
  <c r="K13" i="16"/>
  <c r="R12" i="16"/>
  <c r="AB10" i="16"/>
  <c r="AC10" i="16"/>
  <c r="Z10" i="16"/>
  <c r="AA10" i="16"/>
  <c r="V10" i="16"/>
  <c r="T10" i="16"/>
  <c r="O11" i="16"/>
  <c r="P11" i="16" s="1"/>
  <c r="Q11" i="16"/>
  <c r="Y10" i="16"/>
  <c r="AD10" i="16"/>
  <c r="P10" i="16"/>
  <c r="X10" i="16"/>
  <c r="Q11" i="15"/>
  <c r="O11" i="15" s="1"/>
  <c r="Q10" i="15"/>
  <c r="O10" i="15" s="1"/>
  <c r="R12" i="15"/>
  <c r="J12" i="15"/>
  <c r="N12" i="15" s="1"/>
  <c r="K13" i="15"/>
  <c r="P11" i="15" l="1"/>
  <c r="Q12" i="16"/>
  <c r="AA11" i="16"/>
  <c r="AC11" i="16"/>
  <c r="AB11" i="16"/>
  <c r="T11" i="16"/>
  <c r="AE11" i="16"/>
  <c r="U11" i="16"/>
  <c r="AD11" i="16"/>
  <c r="V11" i="16"/>
  <c r="Y11" i="16"/>
  <c r="Z11" i="16"/>
  <c r="W11" i="16"/>
  <c r="X11" i="16"/>
  <c r="AF10" i="16"/>
  <c r="R13" i="16"/>
  <c r="J13" i="16"/>
  <c r="N13" i="16" s="1"/>
  <c r="K14" i="16"/>
  <c r="O12" i="16"/>
  <c r="AD12" i="16" s="1"/>
  <c r="R13" i="15"/>
  <c r="K14" i="15"/>
  <c r="J13" i="15"/>
  <c r="N13" i="15" s="1"/>
  <c r="Q12" i="15"/>
  <c r="O12" i="15" s="1"/>
  <c r="V11" i="15"/>
  <c r="Z11" i="15"/>
  <c r="AA11" i="15"/>
  <c r="X11" i="15"/>
  <c r="U11" i="15"/>
  <c r="AD11" i="15"/>
  <c r="T11" i="15"/>
  <c r="AE11" i="15"/>
  <c r="AG11" i="15" s="1"/>
  <c r="AH11" i="15" s="1"/>
  <c r="AB11" i="15"/>
  <c r="W11" i="15"/>
  <c r="AC11" i="15"/>
  <c r="Y11" i="15"/>
  <c r="P12" i="15" l="1"/>
  <c r="EW11" i="15"/>
  <c r="EX11" i="15" s="1"/>
  <c r="AD12" i="15"/>
  <c r="AC12" i="16"/>
  <c r="K15" i="16"/>
  <c r="R14" i="16"/>
  <c r="J14" i="16"/>
  <c r="N14" i="16" s="1"/>
  <c r="AF11" i="16"/>
  <c r="T12" i="16"/>
  <c r="X12" i="16"/>
  <c r="Y12" i="16"/>
  <c r="AB12" i="16"/>
  <c r="W12" i="16"/>
  <c r="P12" i="16"/>
  <c r="Z12" i="16"/>
  <c r="V12" i="16"/>
  <c r="AE12" i="16"/>
  <c r="Q13" i="16"/>
  <c r="O13" i="16"/>
  <c r="X13" i="16" s="1"/>
  <c r="AA12" i="16"/>
  <c r="U12" i="16"/>
  <c r="K15" i="15"/>
  <c r="J14" i="15"/>
  <c r="N14" i="15" s="1"/>
  <c r="R14" i="15"/>
  <c r="V12" i="15"/>
  <c r="W12" i="15"/>
  <c r="AB12" i="15"/>
  <c r="Y12" i="15"/>
  <c r="U12" i="15"/>
  <c r="AC12" i="15"/>
  <c r="Q13" i="15"/>
  <c r="O13" i="15" s="1"/>
  <c r="AF11" i="15"/>
  <c r="AE12" i="15"/>
  <c r="AG12" i="15" s="1"/>
  <c r="AH12" i="15" s="1"/>
  <c r="Z12" i="15"/>
  <c r="T12" i="15"/>
  <c r="AC10" i="15"/>
  <c r="AD10" i="15"/>
  <c r="AE10" i="15"/>
  <c r="AG10" i="15" s="1"/>
  <c r="X10" i="15"/>
  <c r="AB10" i="15"/>
  <c r="W10" i="15"/>
  <c r="T10" i="15"/>
  <c r="V10" i="15"/>
  <c r="AA10" i="15"/>
  <c r="Z10" i="15"/>
  <c r="Y10" i="15"/>
  <c r="U10" i="15"/>
  <c r="P10" i="15"/>
  <c r="AA12" i="15"/>
  <c r="X12" i="15"/>
  <c r="AH10" i="15" l="1"/>
  <c r="AI10" i="15" s="1"/>
  <c r="AJ10" i="15" s="1"/>
  <c r="AK10" i="15" s="1"/>
  <c r="AL10" i="15" s="1"/>
  <c r="AM10" i="15" s="1"/>
  <c r="AN10" i="15" s="1"/>
  <c r="AO10" i="15" s="1"/>
  <c r="AP10" i="15" s="1"/>
  <c r="AQ10" i="15" s="1"/>
  <c r="AR10" i="15" s="1"/>
  <c r="AS10" i="15" s="1"/>
  <c r="AT10" i="15" s="1"/>
  <c r="AU10" i="15" s="1"/>
  <c r="AV10" i="15" s="1"/>
  <c r="AW10" i="15" s="1"/>
  <c r="AX10" i="15" s="1"/>
  <c r="AY10" i="15" s="1"/>
  <c r="AZ10" i="15" s="1"/>
  <c r="BA10" i="15" s="1"/>
  <c r="BB10" i="15" s="1"/>
  <c r="BC10" i="15" s="1"/>
  <c r="BD10" i="15" s="1"/>
  <c r="BE10" i="15" s="1"/>
  <c r="BF10" i="15" s="1"/>
  <c r="BG10" i="15" s="1"/>
  <c r="BH10" i="15" s="1"/>
  <c r="BI10" i="15" s="1"/>
  <c r="BJ10" i="15" s="1"/>
  <c r="BK10" i="15" s="1"/>
  <c r="BL10" i="15" s="1"/>
  <c r="BM10" i="15" s="1"/>
  <c r="BN10" i="15" s="1"/>
  <c r="BO10" i="15" s="1"/>
  <c r="BP10" i="15" s="1"/>
  <c r="BQ10" i="15" s="1"/>
  <c r="BR10" i="15" s="1"/>
  <c r="BS10" i="15" s="1"/>
  <c r="BT10" i="15" s="1"/>
  <c r="BU10" i="15" s="1"/>
  <c r="BV10" i="15" s="1"/>
  <c r="BW10" i="15" s="1"/>
  <c r="BX10" i="15" s="1"/>
  <c r="BY10" i="15" s="1"/>
  <c r="BZ10" i="15" s="1"/>
  <c r="CA10" i="15" s="1"/>
  <c r="CB10" i="15" s="1"/>
  <c r="CC10" i="15" s="1"/>
  <c r="CD10" i="15" s="1"/>
  <c r="CE10" i="15" s="1"/>
  <c r="CF10" i="15" s="1"/>
  <c r="CG10" i="15" s="1"/>
  <c r="CH10" i="15" s="1"/>
  <c r="CI10" i="15" s="1"/>
  <c r="CJ10" i="15" s="1"/>
  <c r="CK10" i="15" s="1"/>
  <c r="CL10" i="15" s="1"/>
  <c r="CM10" i="15" s="1"/>
  <c r="CN10" i="15" s="1"/>
  <c r="CO10" i="15" s="1"/>
  <c r="CP10" i="15" s="1"/>
  <c r="CQ10" i="15" s="1"/>
  <c r="CR10" i="15" s="1"/>
  <c r="CS10" i="15" s="1"/>
  <c r="CT10" i="15" s="1"/>
  <c r="CU10" i="15" s="1"/>
  <c r="EW12" i="15"/>
  <c r="EX12" i="15" s="1"/>
  <c r="P13" i="15"/>
  <c r="Y13" i="16"/>
  <c r="AA13" i="16"/>
  <c r="W13" i="16"/>
  <c r="AD13" i="16"/>
  <c r="U13" i="16"/>
  <c r="T13" i="16"/>
  <c r="AB13" i="16"/>
  <c r="AC13" i="16"/>
  <c r="AE13" i="16"/>
  <c r="K16" i="16"/>
  <c r="K17" i="16" s="1"/>
  <c r="R15" i="16"/>
  <c r="R17" i="16" s="1"/>
  <c r="J15" i="16"/>
  <c r="N15" i="16" s="1"/>
  <c r="Q14" i="16"/>
  <c r="P13" i="16"/>
  <c r="Z13" i="16"/>
  <c r="O14" i="16"/>
  <c r="Y14" i="16" s="1"/>
  <c r="AF12" i="16"/>
  <c r="V13" i="16"/>
  <c r="AD13" i="15"/>
  <c r="AB13" i="15"/>
  <c r="W13" i="15"/>
  <c r="X13" i="15"/>
  <c r="Y13" i="15"/>
  <c r="AF10" i="15"/>
  <c r="AA13" i="15"/>
  <c r="Z13" i="15"/>
  <c r="T13" i="15"/>
  <c r="AE13" i="15"/>
  <c r="AG13" i="15" s="1"/>
  <c r="AH13" i="15" s="1"/>
  <c r="V13" i="15"/>
  <c r="J15" i="15"/>
  <c r="N15" i="15" s="1"/>
  <c r="N16" i="15" s="1"/>
  <c r="K16" i="15"/>
  <c r="K17" i="15" s="1"/>
  <c r="R15" i="15"/>
  <c r="R17" i="15" s="1"/>
  <c r="Q14" i="15"/>
  <c r="AF12" i="15"/>
  <c r="U13" i="15"/>
  <c r="AC13" i="15"/>
  <c r="EW13" i="15" l="1"/>
  <c r="EX13" i="15" s="1"/>
  <c r="EW10" i="15"/>
  <c r="EX10" i="15" s="1"/>
  <c r="W14" i="16"/>
  <c r="AD14" i="16"/>
  <c r="P14" i="16"/>
  <c r="Q15" i="16"/>
  <c r="Q16" i="16" s="1"/>
  <c r="N16" i="16"/>
  <c r="O15" i="16"/>
  <c r="Z15" i="16" s="1"/>
  <c r="Z16" i="16" s="1"/>
  <c r="AE14" i="16"/>
  <c r="J17" i="16"/>
  <c r="N17" i="16" s="1"/>
  <c r="O17" i="16" s="1"/>
  <c r="K18" i="16"/>
  <c r="AD15" i="16"/>
  <c r="AD16" i="16" s="1"/>
  <c r="AF13" i="16"/>
  <c r="T14" i="16"/>
  <c r="X14" i="16"/>
  <c r="AC14" i="16"/>
  <c r="AB14" i="16"/>
  <c r="U14" i="16"/>
  <c r="Z14" i="16"/>
  <c r="AA14" i="16"/>
  <c r="V14" i="16"/>
  <c r="AF13" i="15"/>
  <c r="K18" i="15"/>
  <c r="J17" i="15"/>
  <c r="N17" i="15" s="1"/>
  <c r="N71" i="15"/>
  <c r="O14" i="15"/>
  <c r="Q15" i="15"/>
  <c r="O15" i="15" s="1"/>
  <c r="U15" i="15" l="1"/>
  <c r="Y15" i="16"/>
  <c r="Y16" i="16" s="1"/>
  <c r="T17" i="16"/>
  <c r="Z17" i="16"/>
  <c r="AE17" i="16"/>
  <c r="AF14" i="16"/>
  <c r="W15" i="16"/>
  <c r="W16" i="16" s="1"/>
  <c r="U15" i="16"/>
  <c r="U16" i="16" s="1"/>
  <c r="V15" i="16"/>
  <c r="V16" i="16" s="1"/>
  <c r="AC15" i="16"/>
  <c r="AC16" i="16" s="1"/>
  <c r="AB15" i="16"/>
  <c r="AB16" i="16" s="1"/>
  <c r="X15" i="16"/>
  <c r="X16" i="16" s="1"/>
  <c r="AA15" i="16"/>
  <c r="AA16" i="16" s="1"/>
  <c r="T15" i="16"/>
  <c r="T16" i="16" s="1"/>
  <c r="AE15" i="16"/>
  <c r="AE16" i="16" s="1"/>
  <c r="U17" i="16"/>
  <c r="AD17" i="16"/>
  <c r="AB17" i="16"/>
  <c r="W17" i="16"/>
  <c r="R18" i="16"/>
  <c r="K19" i="16"/>
  <c r="J18" i="16"/>
  <c r="N18" i="16" s="1"/>
  <c r="O18" i="16" s="1"/>
  <c r="O16" i="16"/>
  <c r="AC17" i="16"/>
  <c r="AA17" i="16"/>
  <c r="V17" i="16"/>
  <c r="P17" i="16"/>
  <c r="Q17" i="16"/>
  <c r="P15" i="16"/>
  <c r="P16" i="16" s="1"/>
  <c r="X17" i="16"/>
  <c r="Y17" i="16"/>
  <c r="Q17" i="15"/>
  <c r="Z15" i="15"/>
  <c r="Q16" i="15"/>
  <c r="AE15" i="15"/>
  <c r="AG15" i="15" s="1"/>
  <c r="AH15" i="15" s="1"/>
  <c r="AC15" i="15"/>
  <c r="AB15" i="15"/>
  <c r="AA15" i="15"/>
  <c r="Y15" i="15"/>
  <c r="W15" i="15"/>
  <c r="T15" i="15"/>
  <c r="AD15" i="15"/>
  <c r="P15" i="15"/>
  <c r="X15" i="15"/>
  <c r="V15" i="15"/>
  <c r="U14" i="15"/>
  <c r="U16" i="15" s="1"/>
  <c r="AD14" i="15"/>
  <c r="AC14" i="15"/>
  <c r="AE14" i="15"/>
  <c r="Y14" i="15"/>
  <c r="AB14" i="15"/>
  <c r="W14" i="15"/>
  <c r="AA14" i="15"/>
  <c r="X14" i="15"/>
  <c r="Z14" i="15"/>
  <c r="V14" i="15"/>
  <c r="P14" i="15"/>
  <c r="T14" i="15"/>
  <c r="O16" i="15"/>
  <c r="R18" i="15"/>
  <c r="K19" i="15"/>
  <c r="J18" i="15"/>
  <c r="N18" i="15" s="1"/>
  <c r="AE16" i="15" l="1"/>
  <c r="AG16" i="15" s="1"/>
  <c r="AH16" i="15" s="1"/>
  <c r="AG14" i="15"/>
  <c r="EW15" i="15"/>
  <c r="EX15" i="15" s="1"/>
  <c r="AC16" i="15"/>
  <c r="AC71" i="15" s="1"/>
  <c r="AF15" i="15"/>
  <c r="V16" i="15"/>
  <c r="Z16" i="15"/>
  <c r="AA16" i="15"/>
  <c r="AA71" i="15" s="1"/>
  <c r="AB16" i="15"/>
  <c r="AB71" i="15" s="1"/>
  <c r="AF17" i="16"/>
  <c r="T18" i="16"/>
  <c r="AE18" i="16"/>
  <c r="AC18" i="16"/>
  <c r="W18" i="16"/>
  <c r="Z18" i="16"/>
  <c r="Q18" i="16"/>
  <c r="P18" i="16"/>
  <c r="AA18" i="16"/>
  <c r="X18" i="16"/>
  <c r="AB18" i="16"/>
  <c r="AF15" i="16"/>
  <c r="AF16" i="16" s="1"/>
  <c r="Y18" i="16"/>
  <c r="AD18" i="16"/>
  <c r="U18" i="16"/>
  <c r="V18" i="16"/>
  <c r="K20" i="16"/>
  <c r="R19" i="16"/>
  <c r="J19" i="16"/>
  <c r="N19" i="16" s="1"/>
  <c r="O19" i="16" s="1"/>
  <c r="AB19" i="16" s="1"/>
  <c r="W16" i="15"/>
  <c r="W71" i="15" s="1"/>
  <c r="AD16" i="15"/>
  <c r="AD71" i="15" s="1"/>
  <c r="P16" i="15"/>
  <c r="P71" i="15" s="1"/>
  <c r="Y16" i="15"/>
  <c r="O71" i="15"/>
  <c r="AF14" i="15"/>
  <c r="AF16" i="15" s="1"/>
  <c r="T16" i="15"/>
  <c r="Q71" i="15"/>
  <c r="Q18" i="15"/>
  <c r="O18" i="15" s="1"/>
  <c r="O17" i="15"/>
  <c r="R19" i="15"/>
  <c r="K20" i="15"/>
  <c r="J19" i="15"/>
  <c r="N19" i="15" s="1"/>
  <c r="V71" i="15"/>
  <c r="Z71" i="15"/>
  <c r="AE71" i="15"/>
  <c r="U71" i="15"/>
  <c r="X16" i="15"/>
  <c r="Z18" i="15" l="1"/>
  <c r="EW16" i="15"/>
  <c r="EX16" i="15" s="1"/>
  <c r="AH14" i="15"/>
  <c r="EW14" i="15"/>
  <c r="EX14" i="15" s="1"/>
  <c r="W18" i="15"/>
  <c r="U18" i="15"/>
  <c r="V18" i="15"/>
  <c r="AC18" i="15"/>
  <c r="T18" i="15"/>
  <c r="AC19" i="16"/>
  <c r="W19" i="16"/>
  <c r="U19" i="16"/>
  <c r="V19" i="16"/>
  <c r="X19" i="16"/>
  <c r="Z19" i="16"/>
  <c r="AD19" i="16"/>
  <c r="Y19" i="16"/>
  <c r="K21" i="16"/>
  <c r="R20" i="16"/>
  <c r="J20" i="16"/>
  <c r="N20" i="16" s="1"/>
  <c r="O20" i="16" s="1"/>
  <c r="W20" i="16" s="1"/>
  <c r="AE19" i="16"/>
  <c r="T19" i="16"/>
  <c r="AA19" i="16"/>
  <c r="AF18" i="16"/>
  <c r="Q19" i="16"/>
  <c r="P19" i="16"/>
  <c r="X18" i="15"/>
  <c r="Y71" i="15"/>
  <c r="X71" i="15"/>
  <c r="P18" i="15"/>
  <c r="T71" i="15"/>
  <c r="AD18" i="15"/>
  <c r="J20" i="15"/>
  <c r="N20" i="15" s="1"/>
  <c r="K21" i="15"/>
  <c r="R20" i="15"/>
  <c r="AE18" i="15"/>
  <c r="AG18" i="15" s="1"/>
  <c r="AH18" i="15" s="1"/>
  <c r="AB18" i="15"/>
  <c r="AA18" i="15"/>
  <c r="Q19" i="15"/>
  <c r="AF71" i="15"/>
  <c r="T17" i="15"/>
  <c r="Z17" i="15"/>
  <c r="V17" i="15"/>
  <c r="AD17" i="15"/>
  <c r="AB17" i="15"/>
  <c r="Y17" i="15"/>
  <c r="U17" i="15"/>
  <c r="AC17" i="15"/>
  <c r="AA17" i="15"/>
  <c r="X17" i="15"/>
  <c r="W17" i="15"/>
  <c r="AE17" i="15"/>
  <c r="AG17" i="15" s="1"/>
  <c r="AH17" i="15" s="1"/>
  <c r="P17" i="15"/>
  <c r="Y18" i="15"/>
  <c r="EW17" i="15" l="1"/>
  <c r="EX17" i="15" s="1"/>
  <c r="EW18" i="15"/>
  <c r="EX18" i="15" s="1"/>
  <c r="AD20" i="16"/>
  <c r="AF19" i="16"/>
  <c r="U20" i="16"/>
  <c r="AB20" i="16"/>
  <c r="Z20" i="16"/>
  <c r="Q20" i="16"/>
  <c r="P20" i="16"/>
  <c r="X20" i="16"/>
  <c r="Y20" i="16"/>
  <c r="AE20" i="16"/>
  <c r="T20" i="16"/>
  <c r="AA20" i="16"/>
  <c r="V20" i="16"/>
  <c r="AC20" i="16"/>
  <c r="K22" i="16"/>
  <c r="J21" i="16"/>
  <c r="N21" i="16" s="1"/>
  <c r="O21" i="16" s="1"/>
  <c r="Y21" i="16" s="1"/>
  <c r="R21" i="16"/>
  <c r="AF18" i="15"/>
  <c r="K22" i="15"/>
  <c r="J21" i="15"/>
  <c r="N21" i="15" s="1"/>
  <c r="R21" i="15"/>
  <c r="Q20" i="15"/>
  <c r="O20" i="15" s="1"/>
  <c r="O19" i="15"/>
  <c r="AF17" i="15"/>
  <c r="P20" i="15" l="1"/>
  <c r="AE21" i="16"/>
  <c r="T21" i="16"/>
  <c r="AF20" i="16"/>
  <c r="U21" i="16"/>
  <c r="V21" i="16"/>
  <c r="AA21" i="16"/>
  <c r="Z21" i="16"/>
  <c r="Q21" i="16"/>
  <c r="P21" i="16"/>
  <c r="AC21" i="16"/>
  <c r="W21" i="16"/>
  <c r="AB21" i="16"/>
  <c r="X21" i="16"/>
  <c r="AD21" i="16"/>
  <c r="K23" i="16"/>
  <c r="J22" i="16"/>
  <c r="N22" i="16" s="1"/>
  <c r="O22" i="16" s="1"/>
  <c r="R22" i="16"/>
  <c r="Q21" i="15"/>
  <c r="O21" i="15" s="1"/>
  <c r="AC20" i="15"/>
  <c r="AB20" i="15"/>
  <c r="AD20" i="15"/>
  <c r="T20" i="15"/>
  <c r="AA20" i="15"/>
  <c r="X20" i="15"/>
  <c r="AE20" i="15"/>
  <c r="AG20" i="15" s="1"/>
  <c r="AH20" i="15" s="1"/>
  <c r="Y20" i="15"/>
  <c r="U20" i="15"/>
  <c r="Z20" i="15"/>
  <c r="V20" i="15"/>
  <c r="W20" i="15"/>
  <c r="AC19" i="15"/>
  <c r="AA19" i="15"/>
  <c r="U19" i="15"/>
  <c r="X19" i="15"/>
  <c r="V19" i="15"/>
  <c r="AB19" i="15"/>
  <c r="Y19" i="15"/>
  <c r="T19" i="15"/>
  <c r="AE19" i="15"/>
  <c r="AG19" i="15" s="1"/>
  <c r="AH19" i="15" s="1"/>
  <c r="Z19" i="15"/>
  <c r="AD19" i="15"/>
  <c r="P19" i="15"/>
  <c r="W19" i="15"/>
  <c r="R22" i="15"/>
  <c r="J22" i="15"/>
  <c r="N22" i="15" s="1"/>
  <c r="K23" i="15"/>
  <c r="AA21" i="15" l="1"/>
  <c r="V21" i="15"/>
  <c r="EW20" i="15"/>
  <c r="EX20" i="15" s="1"/>
  <c r="AE21" i="15"/>
  <c r="AG21" i="15" s="1"/>
  <c r="AH21" i="15" s="1"/>
  <c r="W21" i="15"/>
  <c r="U21" i="15"/>
  <c r="AD21" i="15"/>
  <c r="EW19" i="15"/>
  <c r="EX19" i="15" s="1"/>
  <c r="Y21" i="15"/>
  <c r="X21" i="15"/>
  <c r="AC21" i="15"/>
  <c r="T21" i="15"/>
  <c r="AF21" i="16"/>
  <c r="AD22" i="16"/>
  <c r="AC22" i="16"/>
  <c r="T22" i="16"/>
  <c r="W22" i="16"/>
  <c r="AA22" i="16"/>
  <c r="X22" i="16"/>
  <c r="AE22" i="16"/>
  <c r="U22" i="16"/>
  <c r="Z22" i="16"/>
  <c r="P22" i="16"/>
  <c r="Q22" i="16"/>
  <c r="AB22" i="16"/>
  <c r="J23" i="16"/>
  <c r="N23" i="16" s="1"/>
  <c r="K24" i="16"/>
  <c r="R23" i="16"/>
  <c r="Y22" i="16"/>
  <c r="V22" i="16"/>
  <c r="AF20" i="15"/>
  <c r="AF19" i="15"/>
  <c r="Q22" i="15"/>
  <c r="P21" i="15"/>
  <c r="J23" i="15"/>
  <c r="N23" i="15" s="1"/>
  <c r="K24" i="15"/>
  <c r="R23" i="15"/>
  <c r="AB21" i="15"/>
  <c r="Z21" i="15"/>
  <c r="AF21" i="15" s="1"/>
  <c r="EW21" i="15" l="1"/>
  <c r="EX21" i="15" s="1"/>
  <c r="AF22" i="16"/>
  <c r="Q23" i="16"/>
  <c r="O23" i="16"/>
  <c r="AC23" i="16" s="1"/>
  <c r="K25" i="16"/>
  <c r="R24" i="16"/>
  <c r="J24" i="16"/>
  <c r="N24" i="16" s="1"/>
  <c r="J24" i="15"/>
  <c r="N24" i="15" s="1"/>
  <c r="R24" i="15"/>
  <c r="K25" i="15"/>
  <c r="Q23" i="15"/>
  <c r="O23" i="15" s="1"/>
  <c r="O22" i="15"/>
  <c r="AC23" i="15" l="1"/>
  <c r="AD23" i="16"/>
  <c r="T23" i="16"/>
  <c r="Q24" i="16"/>
  <c r="K26" i="16"/>
  <c r="J25" i="16"/>
  <c r="N25" i="16" s="1"/>
  <c r="R25" i="16"/>
  <c r="O24" i="16"/>
  <c r="P24" i="16" s="1"/>
  <c r="AB23" i="16"/>
  <c r="Z23" i="16"/>
  <c r="AE23" i="16"/>
  <c r="X23" i="16"/>
  <c r="AA23" i="16"/>
  <c r="Y23" i="16"/>
  <c r="U23" i="16"/>
  <c r="P23" i="16"/>
  <c r="V23" i="16"/>
  <c r="W23" i="16"/>
  <c r="Q24" i="15"/>
  <c r="O24" i="15" s="1"/>
  <c r="V23" i="15"/>
  <c r="U23" i="15"/>
  <c r="AD23" i="15"/>
  <c r="J25" i="15"/>
  <c r="N25" i="15" s="1"/>
  <c r="K26" i="15"/>
  <c r="R25" i="15"/>
  <c r="T23" i="15"/>
  <c r="P23" i="15"/>
  <c r="AB23" i="15"/>
  <c r="X23" i="15"/>
  <c r="Y22" i="15"/>
  <c r="AB22" i="15"/>
  <c r="P22" i="15"/>
  <c r="V22" i="15"/>
  <c r="Z22" i="15"/>
  <c r="U22" i="15"/>
  <c r="AC22" i="15"/>
  <c r="AE22" i="15"/>
  <c r="AG22" i="15" s="1"/>
  <c r="AH22" i="15" s="1"/>
  <c r="W22" i="15"/>
  <c r="X22" i="15"/>
  <c r="AA22" i="15"/>
  <c r="AD22" i="15"/>
  <c r="T22" i="15"/>
  <c r="Z23" i="15"/>
  <c r="W23" i="15"/>
  <c r="AE23" i="15"/>
  <c r="AG23" i="15" s="1"/>
  <c r="AH23" i="15" s="1"/>
  <c r="AA23" i="15"/>
  <c r="Y23" i="15"/>
  <c r="EW22" i="15" l="1"/>
  <c r="EX22" i="15" s="1"/>
  <c r="X24" i="15"/>
  <c r="EW23" i="15"/>
  <c r="EX23" i="15" s="1"/>
  <c r="Z24" i="15"/>
  <c r="AF23" i="16"/>
  <c r="Q25" i="16"/>
  <c r="J26" i="16"/>
  <c r="N26" i="16" s="1"/>
  <c r="O26" i="16" s="1"/>
  <c r="K27" i="16"/>
  <c r="R26" i="16"/>
  <c r="AB24" i="16"/>
  <c r="AC24" i="16"/>
  <c r="X24" i="16"/>
  <c r="V24" i="16"/>
  <c r="W24" i="16"/>
  <c r="U24" i="16"/>
  <c r="Z24" i="16"/>
  <c r="AA24" i="16"/>
  <c r="T24" i="16"/>
  <c r="Y24" i="16"/>
  <c r="AD24" i="16"/>
  <c r="O25" i="16"/>
  <c r="V25" i="16" s="1"/>
  <c r="AE24" i="16"/>
  <c r="AF23" i="15"/>
  <c r="R26" i="15"/>
  <c r="K27" i="15"/>
  <c r="J26" i="15"/>
  <c r="N26" i="15" s="1"/>
  <c r="U24" i="15"/>
  <c r="T24" i="15"/>
  <c r="V24" i="15"/>
  <c r="AD24" i="15"/>
  <c r="AE24" i="15"/>
  <c r="AG24" i="15" s="1"/>
  <c r="AH24" i="15" s="1"/>
  <c r="Y24" i="15"/>
  <c r="AC24" i="15"/>
  <c r="W24" i="15"/>
  <c r="Q25" i="15"/>
  <c r="O25" i="15" s="1"/>
  <c r="AF22" i="15"/>
  <c r="P24" i="15"/>
  <c r="AA24" i="15"/>
  <c r="AB24" i="15"/>
  <c r="AC25" i="15" l="1"/>
  <c r="EW24" i="15"/>
  <c r="EX24" i="15" s="1"/>
  <c r="T25" i="15"/>
  <c r="AA26" i="16"/>
  <c r="V26" i="16"/>
  <c r="AC26" i="16"/>
  <c r="Z26" i="16"/>
  <c r="Y26" i="16"/>
  <c r="X26" i="16"/>
  <c r="AD26" i="16"/>
  <c r="AB26" i="16"/>
  <c r="AE26" i="16"/>
  <c r="W26" i="16"/>
  <c r="T26" i="16"/>
  <c r="U26" i="16"/>
  <c r="J27" i="16"/>
  <c r="N27" i="16" s="1"/>
  <c r="K28" i="16"/>
  <c r="R27" i="16"/>
  <c r="Z25" i="16"/>
  <c r="U25" i="16"/>
  <c r="AD25" i="16"/>
  <c r="AC25" i="16"/>
  <c r="AE25" i="16"/>
  <c r="AA25" i="16"/>
  <c r="T25" i="16"/>
  <c r="AB25" i="16"/>
  <c r="X25" i="16"/>
  <c r="W25" i="16"/>
  <c r="AF24" i="16"/>
  <c r="P25" i="16"/>
  <c r="P26" i="16"/>
  <c r="Q26" i="16"/>
  <c r="Y25" i="16"/>
  <c r="Y25" i="15"/>
  <c r="AA25" i="15"/>
  <c r="AE25" i="15"/>
  <c r="AG25" i="15" s="1"/>
  <c r="AH25" i="15" s="1"/>
  <c r="V25" i="15"/>
  <c r="AB25" i="15"/>
  <c r="AF24" i="15"/>
  <c r="X25" i="15"/>
  <c r="P25" i="15"/>
  <c r="Z25" i="15"/>
  <c r="Q26" i="15"/>
  <c r="O26" i="15" s="1"/>
  <c r="K28" i="15"/>
  <c r="R27" i="15"/>
  <c r="J27" i="15"/>
  <c r="N27" i="15" s="1"/>
  <c r="U25" i="15"/>
  <c r="W25" i="15"/>
  <c r="AD25" i="15"/>
  <c r="EW25" i="15" l="1"/>
  <c r="EX25" i="15" s="1"/>
  <c r="AF26" i="16"/>
  <c r="R28" i="16"/>
  <c r="R30" i="16" s="1"/>
  <c r="K29" i="16"/>
  <c r="K30" i="16" s="1"/>
  <c r="J28" i="16"/>
  <c r="N28" i="16" s="1"/>
  <c r="O28" i="16" s="1"/>
  <c r="AF25" i="16"/>
  <c r="Q27" i="16"/>
  <c r="O27" i="16"/>
  <c r="AB27" i="16" s="1"/>
  <c r="AF25" i="15"/>
  <c r="AB26" i="15"/>
  <c r="T26" i="15"/>
  <c r="W26" i="15"/>
  <c r="AD26" i="15"/>
  <c r="Z26" i="15"/>
  <c r="Y26" i="15"/>
  <c r="AA26" i="15"/>
  <c r="X26" i="15"/>
  <c r="V26" i="15"/>
  <c r="U26" i="15"/>
  <c r="AE26" i="15"/>
  <c r="AG26" i="15" s="1"/>
  <c r="AH26" i="15" s="1"/>
  <c r="P26" i="15"/>
  <c r="Q27" i="15"/>
  <c r="O27" i="15" s="1"/>
  <c r="J28" i="15"/>
  <c r="N28" i="15" s="1"/>
  <c r="K29" i="15"/>
  <c r="K30" i="15" s="1"/>
  <c r="R28" i="15"/>
  <c r="R30" i="15" s="1"/>
  <c r="AC26" i="15"/>
  <c r="W27" i="15" l="1"/>
  <c r="EW26" i="15"/>
  <c r="EX26" i="15" s="1"/>
  <c r="U27" i="15"/>
  <c r="AA27" i="16"/>
  <c r="P27" i="16"/>
  <c r="O29" i="16"/>
  <c r="X28" i="16"/>
  <c r="W28" i="16"/>
  <c r="U28" i="16"/>
  <c r="AB28" i="16"/>
  <c r="AB29" i="16" s="1"/>
  <c r="Z28" i="16"/>
  <c r="AD28" i="16"/>
  <c r="AC28" i="16"/>
  <c r="V28" i="16"/>
  <c r="AE28" i="16"/>
  <c r="AA28" i="16"/>
  <c r="AA29" i="16" s="1"/>
  <c r="T28" i="16"/>
  <c r="Y28" i="16"/>
  <c r="J30" i="16"/>
  <c r="N30" i="16" s="1"/>
  <c r="O30" i="16" s="1"/>
  <c r="K31" i="16"/>
  <c r="P28" i="16"/>
  <c r="P29" i="16" s="1"/>
  <c r="Q28" i="16"/>
  <c r="Q29" i="16" s="1"/>
  <c r="N29" i="16"/>
  <c r="W27" i="16"/>
  <c r="X27" i="16"/>
  <c r="T27" i="16"/>
  <c r="Z27" i="16"/>
  <c r="AD27" i="16"/>
  <c r="Y27" i="16"/>
  <c r="U27" i="16"/>
  <c r="AE27" i="16"/>
  <c r="V27" i="16"/>
  <c r="AC27" i="16"/>
  <c r="AC27" i="15"/>
  <c r="Q28" i="15"/>
  <c r="N29" i="15"/>
  <c r="AA27" i="15"/>
  <c r="Y27" i="15"/>
  <c r="Z27" i="15"/>
  <c r="AB27" i="15"/>
  <c r="P27" i="15"/>
  <c r="AD27" i="15"/>
  <c r="AF26" i="15"/>
  <c r="X27" i="15"/>
  <c r="V27" i="15"/>
  <c r="T27" i="15"/>
  <c r="K31" i="15"/>
  <c r="J30" i="15"/>
  <c r="N30" i="15" s="1"/>
  <c r="AE27" i="15"/>
  <c r="AG27" i="15" s="1"/>
  <c r="AH27" i="15" s="1"/>
  <c r="EW27" i="15" l="1"/>
  <c r="EX27" i="15" s="1"/>
  <c r="AC29" i="16"/>
  <c r="V29" i="16"/>
  <c r="AE29" i="16"/>
  <c r="AA30" i="16"/>
  <c r="T30" i="16"/>
  <c r="Y30" i="16"/>
  <c r="Z30" i="16"/>
  <c r="V30" i="16"/>
  <c r="X30" i="16"/>
  <c r="AB30" i="16"/>
  <c r="AD30" i="16"/>
  <c r="U30" i="16"/>
  <c r="AC30" i="16"/>
  <c r="W30" i="16"/>
  <c r="AE30" i="16"/>
  <c r="AD29" i="16"/>
  <c r="AF28" i="16"/>
  <c r="T29" i="16"/>
  <c r="Z29" i="16"/>
  <c r="U29" i="16"/>
  <c r="J31" i="16"/>
  <c r="N31" i="16" s="1"/>
  <c r="K32" i="16"/>
  <c r="R31" i="16"/>
  <c r="W29" i="16"/>
  <c r="AF27" i="16"/>
  <c r="P30" i="16"/>
  <c r="Q30" i="16"/>
  <c r="X29" i="16"/>
  <c r="Y29" i="16"/>
  <c r="Q30" i="15"/>
  <c r="J31" i="15"/>
  <c r="N31" i="15" s="1"/>
  <c r="K32" i="15"/>
  <c r="R31" i="15"/>
  <c r="Q29" i="15"/>
  <c r="O28" i="15"/>
  <c r="N72" i="15"/>
  <c r="AF27" i="15"/>
  <c r="AF29" i="16" l="1"/>
  <c r="Q31" i="16"/>
  <c r="AF30" i="16"/>
  <c r="J32" i="16"/>
  <c r="N32" i="16" s="1"/>
  <c r="K33" i="16"/>
  <c r="O32" i="16"/>
  <c r="R32" i="16"/>
  <c r="O31" i="16"/>
  <c r="AD31" i="16" s="1"/>
  <c r="R32" i="15"/>
  <c r="J32" i="15"/>
  <c r="N32" i="15" s="1"/>
  <c r="K33" i="15"/>
  <c r="O29" i="15"/>
  <c r="T28" i="15"/>
  <c r="AA28" i="15"/>
  <c r="AA29" i="15" s="1"/>
  <c r="Z28" i="15"/>
  <c r="Z29" i="15" s="1"/>
  <c r="P28" i="15"/>
  <c r="P29" i="15" s="1"/>
  <c r="W28" i="15"/>
  <c r="W29" i="15" s="1"/>
  <c r="AB28" i="15"/>
  <c r="AB29" i="15" s="1"/>
  <c r="AC28" i="15"/>
  <c r="AC29" i="15" s="1"/>
  <c r="AD28" i="15"/>
  <c r="AD29" i="15" s="1"/>
  <c r="U28" i="15"/>
  <c r="U29" i="15" s="1"/>
  <c r="V28" i="15"/>
  <c r="V29" i="15" s="1"/>
  <c r="Y28" i="15"/>
  <c r="Y29" i="15" s="1"/>
  <c r="X28" i="15"/>
  <c r="X29" i="15" s="1"/>
  <c r="AE28" i="15"/>
  <c r="Q72" i="15"/>
  <c r="O30" i="15"/>
  <c r="Q31" i="15"/>
  <c r="O31" i="15" s="1"/>
  <c r="P31" i="15" l="1"/>
  <c r="AE29" i="15"/>
  <c r="AG29" i="15" s="1"/>
  <c r="AH29" i="15" s="1"/>
  <c r="AG28" i="15"/>
  <c r="V32" i="16"/>
  <c r="W31" i="16"/>
  <c r="AE32" i="16"/>
  <c r="W32" i="16"/>
  <c r="U31" i="16"/>
  <c r="R33" i="16"/>
  <c r="K34" i="16"/>
  <c r="J33" i="16"/>
  <c r="N33" i="16" s="1"/>
  <c r="O33" i="16" s="1"/>
  <c r="X31" i="16"/>
  <c r="Y31" i="16"/>
  <c r="AE31" i="16"/>
  <c r="AC31" i="16"/>
  <c r="Z31" i="16"/>
  <c r="X32" i="16"/>
  <c r="Y32" i="16"/>
  <c r="P31" i="16"/>
  <c r="T31" i="16"/>
  <c r="AA32" i="16"/>
  <c r="Z32" i="16"/>
  <c r="AB32" i="16"/>
  <c r="AC32" i="16"/>
  <c r="AD32" i="16"/>
  <c r="Q32" i="16"/>
  <c r="U32" i="16" s="1"/>
  <c r="P32" i="16"/>
  <c r="AB31" i="16"/>
  <c r="V31" i="16"/>
  <c r="AA31" i="16"/>
  <c r="AC31" i="15"/>
  <c r="T31" i="15"/>
  <c r="AA31" i="15"/>
  <c r="Z72" i="15"/>
  <c r="X72" i="15"/>
  <c r="O72" i="15"/>
  <c r="AB72" i="15"/>
  <c r="Y72" i="15"/>
  <c r="AB30" i="15"/>
  <c r="V30" i="15"/>
  <c r="AD30" i="15"/>
  <c r="AA30" i="15"/>
  <c r="X30" i="15"/>
  <c r="Y30" i="15"/>
  <c r="AC30" i="15"/>
  <c r="W30" i="15"/>
  <c r="U30" i="15"/>
  <c r="T30" i="15"/>
  <c r="AE30" i="15"/>
  <c r="AG30" i="15" s="1"/>
  <c r="AH30" i="15" s="1"/>
  <c r="Z30" i="15"/>
  <c r="P30" i="15"/>
  <c r="V72" i="15"/>
  <c r="AA72" i="15"/>
  <c r="P72" i="15"/>
  <c r="AF28" i="15"/>
  <c r="AF29" i="15" s="1"/>
  <c r="T29" i="15"/>
  <c r="Q32" i="15"/>
  <c r="U72" i="15"/>
  <c r="AD72" i="15"/>
  <c r="W72" i="15"/>
  <c r="AE72" i="15"/>
  <c r="R33" i="15"/>
  <c r="K34" i="15"/>
  <c r="J33" i="15"/>
  <c r="N33" i="15" s="1"/>
  <c r="Z31" i="15"/>
  <c r="W31" i="15"/>
  <c r="Y31" i="15"/>
  <c r="X31" i="15"/>
  <c r="V31" i="15"/>
  <c r="AD31" i="15"/>
  <c r="U31" i="15"/>
  <c r="AE31" i="15"/>
  <c r="AG31" i="15" s="1"/>
  <c r="AH31" i="15" s="1"/>
  <c r="AC72" i="15"/>
  <c r="AB31" i="15"/>
  <c r="AH28" i="15" l="1"/>
  <c r="EW28" i="15"/>
  <c r="EX28" i="15" s="1"/>
  <c r="EW30" i="15"/>
  <c r="EX30" i="15" s="1"/>
  <c r="EW29" i="15"/>
  <c r="EX29" i="15" s="1"/>
  <c r="EW31" i="15"/>
  <c r="EX31" i="15" s="1"/>
  <c r="X33" i="16"/>
  <c r="Z33" i="16"/>
  <c r="Y33" i="16"/>
  <c r="AC33" i="16"/>
  <c r="AA33" i="16"/>
  <c r="AD33" i="16"/>
  <c r="AB33" i="16"/>
  <c r="AE33" i="16"/>
  <c r="AF31" i="16"/>
  <c r="P33" i="16"/>
  <c r="Q33" i="16"/>
  <c r="T33" i="16" s="1"/>
  <c r="R34" i="16"/>
  <c r="J34" i="16"/>
  <c r="N34" i="16" s="1"/>
  <c r="O34" i="16" s="1"/>
  <c r="K35" i="16"/>
  <c r="W33" i="16"/>
  <c r="T32" i="16"/>
  <c r="AF32" i="16" s="1"/>
  <c r="AF31" i="15"/>
  <c r="AF72" i="15"/>
  <c r="T72" i="15"/>
  <c r="Q33" i="15"/>
  <c r="O33" i="15" s="1"/>
  <c r="AF30" i="15"/>
  <c r="K35" i="15"/>
  <c r="J34" i="15"/>
  <c r="N34" i="15" s="1"/>
  <c r="R34" i="15"/>
  <c r="O32" i="15"/>
  <c r="U33" i="16" l="1"/>
  <c r="AC34" i="16"/>
  <c r="X34" i="16"/>
  <c r="K36" i="16"/>
  <c r="R35" i="16"/>
  <c r="J35" i="16"/>
  <c r="N35" i="16" s="1"/>
  <c r="O35" i="16" s="1"/>
  <c r="AE34" i="16"/>
  <c r="Z34" i="16"/>
  <c r="AB34" i="16"/>
  <c r="V33" i="16"/>
  <c r="AA34" i="16"/>
  <c r="AD34" i="16"/>
  <c r="Y34" i="16"/>
  <c r="U34" i="16"/>
  <c r="Q34" i="16"/>
  <c r="T34" i="16" s="1"/>
  <c r="P34" i="16"/>
  <c r="U33" i="15"/>
  <c r="AA33" i="15"/>
  <c r="Y33" i="15"/>
  <c r="AE33" i="15"/>
  <c r="AG33" i="15" s="1"/>
  <c r="AH33" i="15" s="1"/>
  <c r="AC33" i="15"/>
  <c r="AD33" i="15"/>
  <c r="AB33" i="15"/>
  <c r="X33" i="15"/>
  <c r="W33" i="15"/>
  <c r="V33" i="15"/>
  <c r="P33" i="15"/>
  <c r="Z33" i="15"/>
  <c r="X32" i="15"/>
  <c r="V32" i="15"/>
  <c r="Y32" i="15"/>
  <c r="AB32" i="15"/>
  <c r="Z32" i="15"/>
  <c r="U32" i="15"/>
  <c r="AA32" i="15"/>
  <c r="W32" i="15"/>
  <c r="AD32" i="15"/>
  <c r="P32" i="15"/>
  <c r="AC32" i="15"/>
  <c r="T32" i="15"/>
  <c r="AE32" i="15"/>
  <c r="AG32" i="15" s="1"/>
  <c r="AH32" i="15" s="1"/>
  <c r="K36" i="15"/>
  <c r="R35" i="15"/>
  <c r="J35" i="15"/>
  <c r="N35" i="15" s="1"/>
  <c r="Q34" i="15"/>
  <c r="O34" i="15" s="1"/>
  <c r="T33" i="15"/>
  <c r="P34" i="15" l="1"/>
  <c r="EW33" i="15"/>
  <c r="EX33" i="15" s="1"/>
  <c r="EW32" i="15"/>
  <c r="EX32" i="15" s="1"/>
  <c r="W34" i="16"/>
  <c r="V34" i="16"/>
  <c r="AF34" i="16" s="1"/>
  <c r="AA35" i="16"/>
  <c r="AC35" i="16"/>
  <c r="Y35" i="16"/>
  <c r="U35" i="16"/>
  <c r="Z35" i="16"/>
  <c r="AB35" i="16"/>
  <c r="V35" i="16"/>
  <c r="AE35" i="16"/>
  <c r="T35" i="16"/>
  <c r="AD35" i="16"/>
  <c r="Q35" i="16"/>
  <c r="X35" i="16" s="1"/>
  <c r="P35" i="16"/>
  <c r="AF33" i="16"/>
  <c r="K37" i="16"/>
  <c r="R36" i="16"/>
  <c r="J36" i="16"/>
  <c r="N36" i="16" s="1"/>
  <c r="AC34" i="15"/>
  <c r="AB34" i="15"/>
  <c r="X34" i="15"/>
  <c r="V34" i="15"/>
  <c r="AF33" i="15"/>
  <c r="Q35" i="15"/>
  <c r="O35" i="15" s="1"/>
  <c r="AF32" i="15"/>
  <c r="W34" i="15"/>
  <c r="Z34" i="15"/>
  <c r="U34" i="15"/>
  <c r="AA34" i="15"/>
  <c r="AD34" i="15"/>
  <c r="R36" i="15"/>
  <c r="K37" i="15"/>
  <c r="J36" i="15"/>
  <c r="N36" i="15" s="1"/>
  <c r="AE34" i="15"/>
  <c r="AG34" i="15" s="1"/>
  <c r="AH34" i="15" s="1"/>
  <c r="T34" i="15"/>
  <c r="Y34" i="15"/>
  <c r="U35" i="15" l="1"/>
  <c r="EW34" i="15"/>
  <c r="EX34" i="15" s="1"/>
  <c r="Q36" i="16"/>
  <c r="O36" i="16"/>
  <c r="AE36" i="16" s="1"/>
  <c r="W35" i="16"/>
  <c r="AF35" i="16" s="1"/>
  <c r="J37" i="16"/>
  <c r="N37" i="16" s="1"/>
  <c r="O37" i="16" s="1"/>
  <c r="K38" i="16"/>
  <c r="R37" i="16"/>
  <c r="U36" i="16"/>
  <c r="X36" i="16"/>
  <c r="T35" i="15"/>
  <c r="AA35" i="15"/>
  <c r="V35" i="15"/>
  <c r="AE35" i="15"/>
  <c r="AG35" i="15" s="1"/>
  <c r="AH35" i="15" s="1"/>
  <c r="AD35" i="15"/>
  <c r="Z35" i="15"/>
  <c r="Y35" i="15"/>
  <c r="W35" i="15"/>
  <c r="AC35" i="15"/>
  <c r="AF34" i="15"/>
  <c r="X35" i="15"/>
  <c r="P35" i="15"/>
  <c r="Q36" i="15"/>
  <c r="K38" i="15"/>
  <c r="J37" i="15"/>
  <c r="N37" i="15" s="1"/>
  <c r="R37" i="15"/>
  <c r="AB35" i="15"/>
  <c r="EW35" i="15" l="1"/>
  <c r="EX35" i="15" s="1"/>
  <c r="W36" i="16"/>
  <c r="AB36" i="16"/>
  <c r="T36" i="16"/>
  <c r="AE37" i="16"/>
  <c r="AA37" i="16"/>
  <c r="AC37" i="16"/>
  <c r="J38" i="16"/>
  <c r="N38" i="16" s="1"/>
  <c r="K39" i="16"/>
  <c r="R38" i="16"/>
  <c r="Q37" i="16"/>
  <c r="T37" i="16" s="1"/>
  <c r="P37" i="16"/>
  <c r="Y36" i="16"/>
  <c r="AC36" i="16"/>
  <c r="Z36" i="16"/>
  <c r="AA36" i="16"/>
  <c r="AD36" i="16"/>
  <c r="AB37" i="16"/>
  <c r="P36" i="16"/>
  <c r="AD37" i="16"/>
  <c r="V36" i="16"/>
  <c r="AF35" i="15"/>
  <c r="J38" i="15"/>
  <c r="N38" i="15" s="1"/>
  <c r="R38" i="15"/>
  <c r="K39" i="15"/>
  <c r="Q37" i="15"/>
  <c r="O37" i="15" s="1"/>
  <c r="O36" i="15"/>
  <c r="AD37" i="15" l="1"/>
  <c r="AF36" i="16"/>
  <c r="Q38" i="16"/>
  <c r="O38" i="16"/>
  <c r="P38" i="16" s="1"/>
  <c r="Y37" i="16"/>
  <c r="AA38" i="16"/>
  <c r="AD38" i="16"/>
  <c r="X37" i="16"/>
  <c r="Z37" i="16"/>
  <c r="AB38" i="16"/>
  <c r="T38" i="16"/>
  <c r="U37" i="16"/>
  <c r="W37" i="16"/>
  <c r="V37" i="16"/>
  <c r="R39" i="16"/>
  <c r="J39" i="16"/>
  <c r="N39" i="16" s="1"/>
  <c r="K40" i="16"/>
  <c r="AC37" i="15"/>
  <c r="AB37" i="15"/>
  <c r="X37" i="15"/>
  <c r="Y37" i="15"/>
  <c r="AC36" i="15"/>
  <c r="X36" i="15"/>
  <c r="U36" i="15"/>
  <c r="P36" i="15"/>
  <c r="T36" i="15"/>
  <c r="AE36" i="15"/>
  <c r="AG36" i="15" s="1"/>
  <c r="AH36" i="15" s="1"/>
  <c r="AA36" i="15"/>
  <c r="W36" i="15"/>
  <c r="Z36" i="15"/>
  <c r="AD36" i="15"/>
  <c r="Y36" i="15"/>
  <c r="AB36" i="15"/>
  <c r="V36" i="15"/>
  <c r="P37" i="15"/>
  <c r="AA37" i="15"/>
  <c r="U37" i="15"/>
  <c r="W37" i="15"/>
  <c r="R39" i="15"/>
  <c r="J39" i="15"/>
  <c r="N39" i="15" s="1"/>
  <c r="K40" i="15"/>
  <c r="Q38" i="15"/>
  <c r="O38" i="15" s="1"/>
  <c r="Z37" i="15"/>
  <c r="T37" i="15"/>
  <c r="AE37" i="15"/>
  <c r="AG37" i="15" s="1"/>
  <c r="AH37" i="15" s="1"/>
  <c r="V37" i="15"/>
  <c r="EW37" i="15" l="1"/>
  <c r="EX37" i="15" s="1"/>
  <c r="T38" i="15"/>
  <c r="EW36" i="15"/>
  <c r="EX36" i="15" s="1"/>
  <c r="V38" i="15"/>
  <c r="AE38" i="15"/>
  <c r="AG38" i="15" s="1"/>
  <c r="AH38" i="15" s="1"/>
  <c r="AA38" i="15"/>
  <c r="AF37" i="16"/>
  <c r="R40" i="16"/>
  <c r="J40" i="16"/>
  <c r="N40" i="16" s="1"/>
  <c r="O40" i="16" s="1"/>
  <c r="K41" i="16"/>
  <c r="AE38" i="16"/>
  <c r="Y38" i="16"/>
  <c r="Z38" i="16"/>
  <c r="X38" i="16"/>
  <c r="U38" i="16"/>
  <c r="Q39" i="16"/>
  <c r="AC38" i="16"/>
  <c r="V38" i="16"/>
  <c r="O39" i="16"/>
  <c r="W38" i="16"/>
  <c r="K41" i="15"/>
  <c r="R40" i="15"/>
  <c r="J40" i="15"/>
  <c r="N40" i="15" s="1"/>
  <c r="Q39" i="15"/>
  <c r="O39" i="15" s="1"/>
  <c r="AF36" i="15"/>
  <c r="AF37" i="15"/>
  <c r="P38" i="15"/>
  <c r="Z38" i="15"/>
  <c r="Y38" i="15"/>
  <c r="AC38" i="15"/>
  <c r="W38" i="15"/>
  <c r="AD38" i="15"/>
  <c r="U38" i="15"/>
  <c r="AB38" i="15"/>
  <c r="X38" i="15"/>
  <c r="AD39" i="15" l="1"/>
  <c r="EW38" i="15"/>
  <c r="EX38" i="15" s="1"/>
  <c r="T39" i="16"/>
  <c r="AF38" i="16"/>
  <c r="AC39" i="16"/>
  <c r="AB39" i="16"/>
  <c r="U39" i="16"/>
  <c r="AA39" i="16"/>
  <c r="Y39" i="16"/>
  <c r="W40" i="16"/>
  <c r="U40" i="16"/>
  <c r="AD40" i="16"/>
  <c r="AE40" i="16"/>
  <c r="AD39" i="16"/>
  <c r="Z39" i="16"/>
  <c r="W39" i="16"/>
  <c r="AE39" i="16"/>
  <c r="K42" i="16"/>
  <c r="K43" i="16" s="1"/>
  <c r="R41" i="16"/>
  <c r="R43" i="16" s="1"/>
  <c r="J41" i="16"/>
  <c r="N41" i="16" s="1"/>
  <c r="O41" i="16" s="1"/>
  <c r="Q40" i="16"/>
  <c r="AC40" i="16" s="1"/>
  <c r="P40" i="16"/>
  <c r="X39" i="16"/>
  <c r="P39" i="16"/>
  <c r="V39" i="16"/>
  <c r="AF38" i="15"/>
  <c r="Z39" i="15"/>
  <c r="T39" i="15"/>
  <c r="P39" i="15"/>
  <c r="AB39" i="15"/>
  <c r="AE39" i="15"/>
  <c r="AG39" i="15" s="1"/>
  <c r="AH39" i="15" s="1"/>
  <c r="J41" i="15"/>
  <c r="N41" i="15" s="1"/>
  <c r="K42" i="15"/>
  <c r="K43" i="15" s="1"/>
  <c r="R41" i="15"/>
  <c r="R43" i="15" s="1"/>
  <c r="Q40" i="15"/>
  <c r="O40" i="15" s="1"/>
  <c r="AC39" i="15"/>
  <c r="W39" i="15"/>
  <c r="AA39" i="15"/>
  <c r="U39" i="15"/>
  <c r="Y39" i="15"/>
  <c r="X39" i="15"/>
  <c r="V39" i="15"/>
  <c r="X40" i="15" l="1"/>
  <c r="EW39" i="15"/>
  <c r="EX39" i="15" s="1"/>
  <c r="Y40" i="16"/>
  <c r="V40" i="16"/>
  <c r="T40" i="16"/>
  <c r="Z40" i="16"/>
  <c r="AB40" i="16"/>
  <c r="AA40" i="16"/>
  <c r="AF39" i="16"/>
  <c r="O42" i="16"/>
  <c r="J43" i="16"/>
  <c r="N43" i="16" s="1"/>
  <c r="O43" i="16" s="1"/>
  <c r="K44" i="16"/>
  <c r="AD41" i="16"/>
  <c r="AD42" i="16" s="1"/>
  <c r="AE41" i="16"/>
  <c r="AE42" i="16" s="1"/>
  <c r="X40" i="16"/>
  <c r="Q41" i="16"/>
  <c r="Q42" i="16" s="1"/>
  <c r="P41" i="16"/>
  <c r="P42" i="16" s="1"/>
  <c r="N42" i="16"/>
  <c r="AB41" i="16"/>
  <c r="V41" i="16"/>
  <c r="V42" i="16" s="1"/>
  <c r="AD40" i="15"/>
  <c r="U40" i="15"/>
  <c r="AB40" i="15"/>
  <c r="AC40" i="15"/>
  <c r="J43" i="15"/>
  <c r="N43" i="15" s="1"/>
  <c r="K44" i="15"/>
  <c r="AE40" i="15"/>
  <c r="AG40" i="15" s="1"/>
  <c r="AH40" i="15" s="1"/>
  <c r="Q41" i="15"/>
  <c r="N42" i="15"/>
  <c r="W40" i="15"/>
  <c r="AA40" i="15"/>
  <c r="Z40" i="15"/>
  <c r="AF39" i="15"/>
  <c r="P40" i="15"/>
  <c r="T40" i="15"/>
  <c r="Y40" i="15"/>
  <c r="V40" i="15"/>
  <c r="EW40" i="15" l="1"/>
  <c r="EX40" i="15" s="1"/>
  <c r="AB42" i="16"/>
  <c r="AF40" i="16"/>
  <c r="W41" i="16"/>
  <c r="W42" i="16" s="1"/>
  <c r="U41" i="16"/>
  <c r="U42" i="16" s="1"/>
  <c r="AA41" i="16"/>
  <c r="AA42" i="16" s="1"/>
  <c r="R44" i="16"/>
  <c r="K45" i="16"/>
  <c r="J44" i="16"/>
  <c r="N44" i="16" s="1"/>
  <c r="Y41" i="16"/>
  <c r="Y42" i="16" s="1"/>
  <c r="Z41" i="16"/>
  <c r="Z42" i="16" s="1"/>
  <c r="AC41" i="16"/>
  <c r="AC42" i="16" s="1"/>
  <c r="T41" i="16"/>
  <c r="Q43" i="16"/>
  <c r="T43" i="16" s="1"/>
  <c r="P43" i="16"/>
  <c r="X41" i="16"/>
  <c r="X42" i="16" s="1"/>
  <c r="X43" i="16"/>
  <c r="N73" i="15"/>
  <c r="AF40" i="15"/>
  <c r="Q42" i="15"/>
  <c r="O41" i="15"/>
  <c r="J44" i="15"/>
  <c r="N44" i="15" s="1"/>
  <c r="R44" i="15"/>
  <c r="K45" i="15"/>
  <c r="Q43" i="15"/>
  <c r="W43" i="16" l="1"/>
  <c r="AD43" i="16"/>
  <c r="AA43" i="16"/>
  <c r="Q44" i="16"/>
  <c r="O44" i="16" s="1"/>
  <c r="P44" i="16" s="1"/>
  <c r="AC43" i="16"/>
  <c r="Z43" i="16"/>
  <c r="Y43" i="16"/>
  <c r="V44" i="16"/>
  <c r="AF41" i="16"/>
  <c r="AF42" i="16" s="1"/>
  <c r="T42" i="16"/>
  <c r="R45" i="16"/>
  <c r="J45" i="16"/>
  <c r="N45" i="16" s="1"/>
  <c r="K46" i="16"/>
  <c r="U43" i="16"/>
  <c r="AB43" i="16"/>
  <c r="AE43" i="16"/>
  <c r="V43" i="16"/>
  <c r="K46" i="15"/>
  <c r="R45" i="15"/>
  <c r="J45" i="15"/>
  <c r="N45" i="15" s="1"/>
  <c r="Q44" i="15"/>
  <c r="O44" i="15" s="1"/>
  <c r="O43" i="15"/>
  <c r="O42" i="15"/>
  <c r="Y41" i="15"/>
  <c r="Y42" i="15" s="1"/>
  <c r="U41" i="15"/>
  <c r="U42" i="15" s="1"/>
  <c r="AA41" i="15"/>
  <c r="AA42" i="15" s="1"/>
  <c r="V41" i="15"/>
  <c r="V42" i="15" s="1"/>
  <c r="T41" i="15"/>
  <c r="AC41" i="15"/>
  <c r="AC42" i="15" s="1"/>
  <c r="AB41" i="15"/>
  <c r="AB42" i="15" s="1"/>
  <c r="AD41" i="15"/>
  <c r="AD42" i="15" s="1"/>
  <c r="W41" i="15"/>
  <c r="W42" i="15" s="1"/>
  <c r="X41" i="15"/>
  <c r="X42" i="15" s="1"/>
  <c r="P41" i="15"/>
  <c r="P42" i="15" s="1"/>
  <c r="AE41" i="15"/>
  <c r="Z41" i="15"/>
  <c r="Z42" i="15" s="1"/>
  <c r="Q73" i="15"/>
  <c r="AE42" i="15" l="1"/>
  <c r="AG42" i="15" s="1"/>
  <c r="AH42" i="15" s="1"/>
  <c r="AG41" i="15"/>
  <c r="EW42" i="15"/>
  <c r="EX42" i="15" s="1"/>
  <c r="W44" i="15"/>
  <c r="EW44" i="15"/>
  <c r="EX44" i="15" s="1"/>
  <c r="AE44" i="16"/>
  <c r="AD44" i="16"/>
  <c r="U44" i="16"/>
  <c r="AB44" i="16"/>
  <c r="AA44" i="16"/>
  <c r="T44" i="16"/>
  <c r="AC44" i="16"/>
  <c r="X44" i="16"/>
  <c r="K47" i="16"/>
  <c r="R46" i="16"/>
  <c r="J46" i="16"/>
  <c r="N46" i="16" s="1"/>
  <c r="Y44" i="16"/>
  <c r="Z44" i="16"/>
  <c r="Q45" i="16"/>
  <c r="W44" i="16"/>
  <c r="AF43" i="16"/>
  <c r="X73" i="15"/>
  <c r="AE43" i="15"/>
  <c r="AG43" i="15" s="1"/>
  <c r="AH43" i="15" s="1"/>
  <c r="AB43" i="15"/>
  <c r="W43" i="15"/>
  <c r="V43" i="15"/>
  <c r="T43" i="15"/>
  <c r="AD43" i="15"/>
  <c r="Z43" i="15"/>
  <c r="AA43" i="15"/>
  <c r="AC43" i="15"/>
  <c r="Y43" i="15"/>
  <c r="X43" i="15"/>
  <c r="U43" i="15"/>
  <c r="P43" i="15"/>
  <c r="AB73" i="15"/>
  <c r="X44" i="15"/>
  <c r="W73" i="15"/>
  <c r="P44" i="15"/>
  <c r="AC73" i="15"/>
  <c r="AD44" i="15"/>
  <c r="AF41" i="15"/>
  <c r="AF42" i="15" s="1"/>
  <c r="T42" i="15"/>
  <c r="AA73" i="15"/>
  <c r="J46" i="15"/>
  <c r="N46" i="15" s="1"/>
  <c r="K47" i="15"/>
  <c r="R46" i="15"/>
  <c r="AE44" i="15"/>
  <c r="AG44" i="15" s="1"/>
  <c r="AH44" i="15" s="1"/>
  <c r="T44" i="15"/>
  <c r="AA44" i="15"/>
  <c r="Z44" i="15"/>
  <c r="AC44" i="15"/>
  <c r="AB44" i="15"/>
  <c r="V73" i="15"/>
  <c r="Y73" i="15"/>
  <c r="V44" i="15"/>
  <c r="P73" i="15"/>
  <c r="AD73" i="15"/>
  <c r="U44" i="15"/>
  <c r="Q45" i="15"/>
  <c r="U73" i="15"/>
  <c r="Z73" i="15"/>
  <c r="AE73" i="15"/>
  <c r="O73" i="15"/>
  <c r="Y44" i="15"/>
  <c r="AH41" i="15" l="1"/>
  <c r="EW41" i="15" s="1"/>
  <c r="EX41" i="15" s="1"/>
  <c r="EW43" i="15"/>
  <c r="EX43" i="15" s="1"/>
  <c r="AF44" i="16"/>
  <c r="Q46" i="16"/>
  <c r="O46" i="16" s="1"/>
  <c r="AC46" i="16" s="1"/>
  <c r="O45" i="16"/>
  <c r="J47" i="16"/>
  <c r="N47" i="16" s="1"/>
  <c r="K48" i="16"/>
  <c r="R47" i="16"/>
  <c r="Q46" i="15"/>
  <c r="O46" i="15" s="1"/>
  <c r="AF43" i="15"/>
  <c r="O45" i="15"/>
  <c r="U46" i="15"/>
  <c r="AF73" i="15"/>
  <c r="T73" i="15"/>
  <c r="AF44" i="15"/>
  <c r="J47" i="15"/>
  <c r="N47" i="15" s="1"/>
  <c r="R47" i="15"/>
  <c r="K48" i="15"/>
  <c r="P46" i="15" l="1"/>
  <c r="AD46" i="15"/>
  <c r="AB46" i="15"/>
  <c r="X46" i="16"/>
  <c r="AC45" i="16"/>
  <c r="AA45" i="16"/>
  <c r="AB45" i="16"/>
  <c r="Y45" i="16"/>
  <c r="X45" i="16"/>
  <c r="AD45" i="16"/>
  <c r="V45" i="16"/>
  <c r="T45" i="16"/>
  <c r="U45" i="16"/>
  <c r="W45" i="16"/>
  <c r="Z45" i="16"/>
  <c r="AE45" i="16"/>
  <c r="P45" i="16"/>
  <c r="AA46" i="16"/>
  <c r="AD46" i="16"/>
  <c r="T46" i="16"/>
  <c r="Z46" i="16"/>
  <c r="J48" i="16"/>
  <c r="N48" i="16" s="1"/>
  <c r="K49" i="16"/>
  <c r="R48" i="16"/>
  <c r="AE46" i="16"/>
  <c r="P46" i="16"/>
  <c r="Q47" i="16"/>
  <c r="O47" i="16" s="1"/>
  <c r="P47" i="16" s="1"/>
  <c r="U46" i="16"/>
  <c r="W46" i="16"/>
  <c r="X47" i="16"/>
  <c r="AB47" i="16"/>
  <c r="V46" i="16"/>
  <c r="Y46" i="16"/>
  <c r="AB46" i="16"/>
  <c r="R48" i="15"/>
  <c r="J48" i="15"/>
  <c r="N48" i="15" s="1"/>
  <c r="K49" i="15"/>
  <c r="Q47" i="15"/>
  <c r="O47" i="15" s="1"/>
  <c r="W47" i="15" s="1"/>
  <c r="AC46" i="15"/>
  <c r="AD45" i="15"/>
  <c r="AB45" i="15"/>
  <c r="AC45" i="15"/>
  <c r="X45" i="15"/>
  <c r="W45" i="15"/>
  <c r="AE45" i="15"/>
  <c r="AG45" i="15" s="1"/>
  <c r="AH45" i="15" s="1"/>
  <c r="T45" i="15"/>
  <c r="Z45" i="15"/>
  <c r="V45" i="15"/>
  <c r="U45" i="15"/>
  <c r="P45" i="15"/>
  <c r="AA45" i="15"/>
  <c r="Y45" i="15"/>
  <c r="V46" i="15"/>
  <c r="X46" i="15"/>
  <c r="W46" i="15"/>
  <c r="T46" i="15"/>
  <c r="Y46" i="15"/>
  <c r="T47" i="15"/>
  <c r="Z46" i="15"/>
  <c r="AA46" i="15"/>
  <c r="AE46" i="15"/>
  <c r="AG46" i="15" s="1"/>
  <c r="AH46" i="15" s="1"/>
  <c r="EW46" i="15" l="1"/>
  <c r="EX46" i="15" s="1"/>
  <c r="EW45" i="15"/>
  <c r="EX45" i="15" s="1"/>
  <c r="AC47" i="16"/>
  <c r="Y47" i="16"/>
  <c r="AD47" i="16"/>
  <c r="AF46" i="16"/>
  <c r="V47" i="16"/>
  <c r="T47" i="16"/>
  <c r="AA47" i="16"/>
  <c r="Z47" i="16"/>
  <c r="W47" i="16"/>
  <c r="U47" i="16"/>
  <c r="J49" i="16"/>
  <c r="N49" i="16" s="1"/>
  <c r="K50" i="16"/>
  <c r="R49" i="16"/>
  <c r="Q48" i="16"/>
  <c r="O48" i="16" s="1"/>
  <c r="Z48" i="16" s="1"/>
  <c r="AF45" i="16"/>
  <c r="AE47" i="16"/>
  <c r="AF46" i="15"/>
  <c r="Z47" i="15"/>
  <c r="X47" i="15"/>
  <c r="P47" i="15"/>
  <c r="Y47" i="15"/>
  <c r="J49" i="15"/>
  <c r="N49" i="15" s="1"/>
  <c r="K50" i="15"/>
  <c r="R49" i="15"/>
  <c r="AF45" i="15"/>
  <c r="Q48" i="15"/>
  <c r="AA47" i="15"/>
  <c r="AD47" i="15"/>
  <c r="V47" i="15"/>
  <c r="U47" i="15"/>
  <c r="AE47" i="15"/>
  <c r="AG47" i="15" s="1"/>
  <c r="AB47" i="15"/>
  <c r="AC47" i="15"/>
  <c r="AH47" i="15" l="1"/>
  <c r="EW47" i="15" s="1"/>
  <c r="EX47" i="15" s="1"/>
  <c r="AB48" i="16"/>
  <c r="Y48" i="16"/>
  <c r="W48" i="16"/>
  <c r="R50" i="16"/>
  <c r="J50" i="16"/>
  <c r="N50" i="16" s="1"/>
  <c r="K51" i="16"/>
  <c r="AA48" i="16"/>
  <c r="AF47" i="16"/>
  <c r="AE48" i="16"/>
  <c r="AD48" i="16"/>
  <c r="V48" i="16"/>
  <c r="Q49" i="16"/>
  <c r="P48" i="16"/>
  <c r="T48" i="16"/>
  <c r="AC48" i="16"/>
  <c r="X48" i="16"/>
  <c r="U48" i="16"/>
  <c r="AF47" i="15"/>
  <c r="Q49" i="15"/>
  <c r="O49" i="15" s="1"/>
  <c r="J50" i="15"/>
  <c r="N50" i="15" s="1"/>
  <c r="K51" i="15"/>
  <c r="R50" i="15"/>
  <c r="O48" i="15"/>
  <c r="AF48" i="16" l="1"/>
  <c r="Q50" i="16"/>
  <c r="O50" i="16" s="1"/>
  <c r="V50" i="16" s="1"/>
  <c r="O49" i="16"/>
  <c r="X50" i="16"/>
  <c r="AE50" i="16"/>
  <c r="R51" i="16"/>
  <c r="J51" i="16"/>
  <c r="N51" i="16" s="1"/>
  <c r="K52" i="16"/>
  <c r="U49" i="15"/>
  <c r="X49" i="15"/>
  <c r="AC49" i="15"/>
  <c r="W49" i="15"/>
  <c r="AB49" i="15"/>
  <c r="AE49" i="15"/>
  <c r="AG49" i="15" s="1"/>
  <c r="AH49" i="15" s="1"/>
  <c r="Z49" i="15"/>
  <c r="Y49" i="15"/>
  <c r="AA49" i="15"/>
  <c r="V49" i="15"/>
  <c r="T49" i="15"/>
  <c r="Q50" i="15"/>
  <c r="O50" i="15" s="1"/>
  <c r="AD49" i="15"/>
  <c r="K52" i="15"/>
  <c r="R51" i="15"/>
  <c r="J51" i="15"/>
  <c r="N51" i="15" s="1"/>
  <c r="P49" i="15"/>
  <c r="W48" i="15"/>
  <c r="X48" i="15"/>
  <c r="AD48" i="15"/>
  <c r="AB48" i="15"/>
  <c r="AA48" i="15"/>
  <c r="V48" i="15"/>
  <c r="P48" i="15"/>
  <c r="AC48" i="15"/>
  <c r="Z48" i="15"/>
  <c r="AE48" i="15"/>
  <c r="AG48" i="15" s="1"/>
  <c r="AH48" i="15" s="1"/>
  <c r="Y48" i="15"/>
  <c r="T48" i="15"/>
  <c r="U48" i="15"/>
  <c r="P50" i="15" l="1"/>
  <c r="EW49" i="15"/>
  <c r="EX49" i="15" s="1"/>
  <c r="EW48" i="15"/>
  <c r="EX48" i="15" s="1"/>
  <c r="Z49" i="16"/>
  <c r="Y49" i="16"/>
  <c r="X49" i="16"/>
  <c r="W49" i="16"/>
  <c r="AA49" i="16"/>
  <c r="AE49" i="16"/>
  <c r="V49" i="16"/>
  <c r="AB49" i="16"/>
  <c r="AD49" i="16"/>
  <c r="T49" i="16"/>
  <c r="P49" i="16"/>
  <c r="U49" i="16"/>
  <c r="AC49" i="16"/>
  <c r="P50" i="16"/>
  <c r="AD50" i="16"/>
  <c r="W50" i="16"/>
  <c r="T50" i="16"/>
  <c r="AA50" i="16"/>
  <c r="U50" i="16"/>
  <c r="AB50" i="16"/>
  <c r="AC50" i="16"/>
  <c r="K53" i="16"/>
  <c r="R52" i="16"/>
  <c r="J52" i="16"/>
  <c r="N52" i="16" s="1"/>
  <c r="Z50" i="16"/>
  <c r="Y50" i="16"/>
  <c r="Q51" i="16"/>
  <c r="O51" i="16" s="1"/>
  <c r="AE50" i="15"/>
  <c r="AG50" i="15" s="1"/>
  <c r="AH50" i="15" s="1"/>
  <c r="AC50" i="15"/>
  <c r="T50" i="15"/>
  <c r="AA50" i="15"/>
  <c r="Q51" i="15"/>
  <c r="O51" i="15" s="1"/>
  <c r="AF48" i="15"/>
  <c r="W50" i="15"/>
  <c r="V50" i="15"/>
  <c r="Z50" i="15"/>
  <c r="X50" i="15"/>
  <c r="AD50" i="15"/>
  <c r="Y50" i="15"/>
  <c r="K53" i="15"/>
  <c r="R52" i="15"/>
  <c r="J52" i="15"/>
  <c r="N52" i="15" s="1"/>
  <c r="AB50" i="15"/>
  <c r="AF49" i="15"/>
  <c r="U50" i="15"/>
  <c r="EW50" i="15" l="1"/>
  <c r="EX50" i="15" s="1"/>
  <c r="U51" i="15"/>
  <c r="V51" i="15"/>
  <c r="AF49" i="16"/>
  <c r="AC51" i="16"/>
  <c r="AB51" i="16"/>
  <c r="AA51" i="16"/>
  <c r="Y51" i="16"/>
  <c r="X51" i="16"/>
  <c r="Z51" i="16"/>
  <c r="AF50" i="16"/>
  <c r="Q52" i="16"/>
  <c r="O52" i="16" s="1"/>
  <c r="P52" i="16" s="1"/>
  <c r="J53" i="16"/>
  <c r="N53" i="16" s="1"/>
  <c r="K54" i="16"/>
  <c r="R53" i="16"/>
  <c r="T51" i="16"/>
  <c r="P51" i="16"/>
  <c r="AE51" i="16"/>
  <c r="W51" i="16"/>
  <c r="AD51" i="16"/>
  <c r="V51" i="16"/>
  <c r="U51" i="16"/>
  <c r="AF50" i="15"/>
  <c r="AD51" i="15"/>
  <c r="AB51" i="15"/>
  <c r="AC51" i="15"/>
  <c r="T51" i="15"/>
  <c r="Y51" i="15"/>
  <c r="W51" i="15"/>
  <c r="X51" i="15"/>
  <c r="Q52" i="15"/>
  <c r="O52" i="15" s="1"/>
  <c r="P51" i="15"/>
  <c r="AE51" i="15"/>
  <c r="AG51" i="15" s="1"/>
  <c r="AH51" i="15" s="1"/>
  <c r="J53" i="15"/>
  <c r="N53" i="15" s="1"/>
  <c r="K54" i="15"/>
  <c r="R53" i="15"/>
  <c r="Z51" i="15"/>
  <c r="AA51" i="15"/>
  <c r="AE52" i="15" l="1"/>
  <c r="AG52" i="15" s="1"/>
  <c r="AH52" i="15" s="1"/>
  <c r="EW52" i="15"/>
  <c r="EX52" i="15" s="1"/>
  <c r="EW51" i="15"/>
  <c r="EX51" i="15" s="1"/>
  <c r="X52" i="16"/>
  <c r="AD52" i="16"/>
  <c r="AE52" i="16"/>
  <c r="Y52" i="16"/>
  <c r="Z52" i="16"/>
  <c r="W52" i="16"/>
  <c r="V52" i="16"/>
  <c r="AF51" i="16"/>
  <c r="Q53" i="16"/>
  <c r="O53" i="16" s="1"/>
  <c r="P53" i="16" s="1"/>
  <c r="T52" i="16"/>
  <c r="AB52" i="16"/>
  <c r="AC52" i="16"/>
  <c r="J54" i="16"/>
  <c r="N54" i="16" s="1"/>
  <c r="K55" i="16"/>
  <c r="K56" i="16" s="1"/>
  <c r="R54" i="16"/>
  <c r="R56" i="16" s="1"/>
  <c r="U52" i="16"/>
  <c r="AA52" i="16"/>
  <c r="Z52" i="15"/>
  <c r="U52" i="15"/>
  <c r="AA52" i="15"/>
  <c r="V52" i="15"/>
  <c r="R54" i="15"/>
  <c r="R56" i="15" s="1"/>
  <c r="J54" i="15"/>
  <c r="N54" i="15" s="1"/>
  <c r="K55" i="15"/>
  <c r="K56" i="15" s="1"/>
  <c r="AF51" i="15"/>
  <c r="X52" i="15"/>
  <c r="Y52" i="15"/>
  <c r="AD52" i="15"/>
  <c r="AC52" i="15"/>
  <c r="AB52" i="15"/>
  <c r="T52" i="15"/>
  <c r="Q53" i="15"/>
  <c r="O53" i="15" s="1"/>
  <c r="P52" i="15"/>
  <c r="W52" i="15"/>
  <c r="AE53" i="16" l="1"/>
  <c r="AD53" i="16"/>
  <c r="J56" i="16"/>
  <c r="N56" i="16" s="1"/>
  <c r="K57" i="16"/>
  <c r="AF52" i="16"/>
  <c r="AB53" i="16"/>
  <c r="AA53" i="16"/>
  <c r="Z53" i="16"/>
  <c r="W53" i="16"/>
  <c r="V53" i="16"/>
  <c r="Y53" i="16"/>
  <c r="X53" i="16"/>
  <c r="AC53" i="16"/>
  <c r="Q54" i="16"/>
  <c r="N55" i="16"/>
  <c r="T53" i="16"/>
  <c r="U53" i="16"/>
  <c r="Z53" i="15"/>
  <c r="AA53" i="15"/>
  <c r="W53" i="15"/>
  <c r="V53" i="15"/>
  <c r="Y53" i="15"/>
  <c r="AE53" i="15"/>
  <c r="AG53" i="15" s="1"/>
  <c r="AH53" i="15" s="1"/>
  <c r="EW53" i="15" s="1"/>
  <c r="EX53" i="15" s="1"/>
  <c r="AD53" i="15"/>
  <c r="X53" i="15"/>
  <c r="U53" i="15"/>
  <c r="AB53" i="15"/>
  <c r="AF52" i="15"/>
  <c r="AC53" i="15"/>
  <c r="P53" i="15"/>
  <c r="J56" i="15"/>
  <c r="K57" i="15"/>
  <c r="Q54" i="15"/>
  <c r="N55" i="15"/>
  <c r="T53" i="15"/>
  <c r="AF53" i="16" l="1"/>
  <c r="AG55" i="16"/>
  <c r="AI55" i="16" s="1"/>
  <c r="Q56" i="16"/>
  <c r="Q55" i="16"/>
  <c r="O54" i="16"/>
  <c r="R57" i="16"/>
  <c r="J57" i="16"/>
  <c r="N57" i="16" s="1"/>
  <c r="AI74" i="16" s="1"/>
  <c r="K58" i="16"/>
  <c r="Q55" i="15"/>
  <c r="O54" i="15"/>
  <c r="J57" i="15"/>
  <c r="R57" i="15"/>
  <c r="K58" i="15"/>
  <c r="AF53" i="15"/>
  <c r="Q56" i="15"/>
  <c r="N74" i="15"/>
  <c r="O55" i="16" l="1"/>
  <c r="Z54" i="16"/>
  <c r="Z55" i="16" s="1"/>
  <c r="AB54" i="16"/>
  <c r="AB55" i="16" s="1"/>
  <c r="Y54" i="16"/>
  <c r="Y55" i="16" s="1"/>
  <c r="AC54" i="16"/>
  <c r="AC55" i="16" s="1"/>
  <c r="U54" i="16"/>
  <c r="U55" i="16" s="1"/>
  <c r="V54" i="16"/>
  <c r="V55" i="16" s="1"/>
  <c r="AD54" i="16"/>
  <c r="AD55" i="16" s="1"/>
  <c r="T54" i="16"/>
  <c r="AE54" i="16"/>
  <c r="AE55" i="16" s="1"/>
  <c r="AA54" i="16"/>
  <c r="AA55" i="16" s="1"/>
  <c r="W54" i="16"/>
  <c r="W55" i="16" s="1"/>
  <c r="X54" i="16"/>
  <c r="X55" i="16" s="1"/>
  <c r="P54" i="16"/>
  <c r="P55" i="16" s="1"/>
  <c r="O56" i="16"/>
  <c r="Q57" i="16"/>
  <c r="K59" i="16"/>
  <c r="R58" i="16"/>
  <c r="J58" i="16"/>
  <c r="N58" i="16" s="1"/>
  <c r="AI75" i="16" s="1"/>
  <c r="O56" i="15"/>
  <c r="K59" i="15"/>
  <c r="R58" i="15"/>
  <c r="J58" i="15"/>
  <c r="O55" i="15"/>
  <c r="AD54" i="15"/>
  <c r="AD55" i="15" s="1"/>
  <c r="T54" i="15"/>
  <c r="AC54" i="15"/>
  <c r="AC55" i="15" s="1"/>
  <c r="AA54" i="15"/>
  <c r="AA55" i="15" s="1"/>
  <c r="Z54" i="15"/>
  <c r="Z55" i="15" s="1"/>
  <c r="Y54" i="15"/>
  <c r="Y55" i="15" s="1"/>
  <c r="AE54" i="15"/>
  <c r="W54" i="15"/>
  <c r="W55" i="15" s="1"/>
  <c r="AB54" i="15"/>
  <c r="AB55" i="15" s="1"/>
  <c r="U54" i="15"/>
  <c r="U55" i="15" s="1"/>
  <c r="V54" i="15"/>
  <c r="V55" i="15" s="1"/>
  <c r="P54" i="15"/>
  <c r="P55" i="15" s="1"/>
  <c r="X54" i="15"/>
  <c r="X55" i="15" s="1"/>
  <c r="Q57" i="15"/>
  <c r="O57" i="15" s="1"/>
  <c r="Q74" i="15"/>
  <c r="P57" i="15" l="1"/>
  <c r="AE55" i="15"/>
  <c r="AG55" i="15" s="1"/>
  <c r="AG54" i="15"/>
  <c r="O57" i="16"/>
  <c r="U57" i="16" s="1"/>
  <c r="T74" i="16" s="1"/>
  <c r="J59" i="16"/>
  <c r="N59" i="16" s="1"/>
  <c r="AI76" i="16" s="1"/>
  <c r="K60" i="16"/>
  <c r="R59" i="16"/>
  <c r="W57" i="16"/>
  <c r="Y56" i="16"/>
  <c r="X56" i="16"/>
  <c r="AE56" i="16"/>
  <c r="V56" i="16"/>
  <c r="T56" i="16"/>
  <c r="AC56" i="16"/>
  <c r="W56" i="16"/>
  <c r="U56" i="16"/>
  <c r="AB56" i="16"/>
  <c r="Z56" i="16"/>
  <c r="AD56" i="16"/>
  <c r="AA56" i="16"/>
  <c r="P56" i="16"/>
  <c r="Q58" i="16"/>
  <c r="O58" i="16" s="1"/>
  <c r="P58" i="16" s="1"/>
  <c r="Y57" i="16"/>
  <c r="AD57" i="16"/>
  <c r="Z57" i="16"/>
  <c r="AE57" i="16"/>
  <c r="AB57" i="16"/>
  <c r="AA57" i="16"/>
  <c r="AF54" i="16"/>
  <c r="AF55" i="16" s="1"/>
  <c r="T55" i="16"/>
  <c r="AD57" i="15"/>
  <c r="X57" i="15"/>
  <c r="Z74" i="15"/>
  <c r="AF54" i="15"/>
  <c r="AF55" i="15" s="1"/>
  <c r="T55" i="15"/>
  <c r="Y74" i="15"/>
  <c r="AC74" i="15"/>
  <c r="AD74" i="15"/>
  <c r="Y56" i="15"/>
  <c r="W56" i="15"/>
  <c r="U56" i="15"/>
  <c r="V56" i="15"/>
  <c r="T56" i="15"/>
  <c r="X56" i="15"/>
  <c r="AC56" i="15"/>
  <c r="AE56" i="15"/>
  <c r="AG56" i="15" s="1"/>
  <c r="AH56" i="15" s="1"/>
  <c r="AI56" i="15" s="1"/>
  <c r="AJ56" i="15" s="1"/>
  <c r="AK56" i="15" s="1"/>
  <c r="AL56" i="15" s="1"/>
  <c r="AM56" i="15" s="1"/>
  <c r="AN56" i="15" s="1"/>
  <c r="AO56" i="15" s="1"/>
  <c r="AP56" i="15" s="1"/>
  <c r="AQ56" i="15" s="1"/>
  <c r="AR56" i="15" s="1"/>
  <c r="AS56" i="15" s="1"/>
  <c r="AT56" i="15" s="1"/>
  <c r="AU56" i="15" s="1"/>
  <c r="AV56" i="15" s="1"/>
  <c r="AW56" i="15" s="1"/>
  <c r="AX56" i="15" s="1"/>
  <c r="AY56" i="15" s="1"/>
  <c r="AZ56" i="15" s="1"/>
  <c r="BA56" i="15" s="1"/>
  <c r="BB56" i="15" s="1"/>
  <c r="BC56" i="15" s="1"/>
  <c r="BD56" i="15" s="1"/>
  <c r="BE56" i="15" s="1"/>
  <c r="BF56" i="15" s="1"/>
  <c r="BG56" i="15" s="1"/>
  <c r="BH56" i="15" s="1"/>
  <c r="BI56" i="15" s="1"/>
  <c r="BJ56" i="15" s="1"/>
  <c r="BK56" i="15" s="1"/>
  <c r="BL56" i="15" s="1"/>
  <c r="BM56" i="15" s="1"/>
  <c r="BN56" i="15" s="1"/>
  <c r="BO56" i="15" s="1"/>
  <c r="BP56" i="15" s="1"/>
  <c r="BQ56" i="15" s="1"/>
  <c r="BR56" i="15" s="1"/>
  <c r="BS56" i="15" s="1"/>
  <c r="BT56" i="15" s="1"/>
  <c r="BU56" i="15" s="1"/>
  <c r="BV56" i="15" s="1"/>
  <c r="BW56" i="15" s="1"/>
  <c r="BX56" i="15" s="1"/>
  <c r="BY56" i="15" s="1"/>
  <c r="BZ56" i="15" s="1"/>
  <c r="CA56" i="15" s="1"/>
  <c r="CB56" i="15" s="1"/>
  <c r="CC56" i="15" s="1"/>
  <c r="CD56" i="15" s="1"/>
  <c r="CE56" i="15" s="1"/>
  <c r="CF56" i="15" s="1"/>
  <c r="CG56" i="15" s="1"/>
  <c r="CH56" i="15" s="1"/>
  <c r="CI56" i="15" s="1"/>
  <c r="CJ56" i="15" s="1"/>
  <c r="CK56" i="15" s="1"/>
  <c r="CL56" i="15" s="1"/>
  <c r="CM56" i="15" s="1"/>
  <c r="CN56" i="15" s="1"/>
  <c r="CO56" i="15" s="1"/>
  <c r="CP56" i="15" s="1"/>
  <c r="CQ56" i="15" s="1"/>
  <c r="CR56" i="15" s="1"/>
  <c r="CS56" i="15" s="1"/>
  <c r="CT56" i="15" s="1"/>
  <c r="CU56" i="15" s="1"/>
  <c r="CV56" i="15" s="1"/>
  <c r="CW56" i="15" s="1"/>
  <c r="CX56" i="15" s="1"/>
  <c r="CY56" i="15" s="1"/>
  <c r="CZ56" i="15" s="1"/>
  <c r="DA56" i="15" s="1"/>
  <c r="DB56" i="15" s="1"/>
  <c r="DC56" i="15" s="1"/>
  <c r="DD56" i="15" s="1"/>
  <c r="DE56" i="15" s="1"/>
  <c r="DF56" i="15" s="1"/>
  <c r="DG56" i="15" s="1"/>
  <c r="DH56" i="15" s="1"/>
  <c r="DI56" i="15" s="1"/>
  <c r="DJ56" i="15" s="1"/>
  <c r="DK56" i="15" s="1"/>
  <c r="DL56" i="15" s="1"/>
  <c r="DM56" i="15" s="1"/>
  <c r="DN56" i="15" s="1"/>
  <c r="DO56" i="15" s="1"/>
  <c r="DP56" i="15" s="1"/>
  <c r="DQ56" i="15" s="1"/>
  <c r="DR56" i="15" s="1"/>
  <c r="DS56" i="15" s="1"/>
  <c r="DT56" i="15" s="1"/>
  <c r="DU56" i="15" s="1"/>
  <c r="DV56" i="15" s="1"/>
  <c r="DW56" i="15" s="1"/>
  <c r="DX56" i="15" s="1"/>
  <c r="DY56" i="15" s="1"/>
  <c r="DZ56" i="15" s="1"/>
  <c r="EA56" i="15" s="1"/>
  <c r="EB56" i="15" s="1"/>
  <c r="EC56" i="15" s="1"/>
  <c r="ED56" i="15" s="1"/>
  <c r="EE56" i="15" s="1"/>
  <c r="EF56" i="15" s="1"/>
  <c r="EG56" i="15" s="1"/>
  <c r="EH56" i="15" s="1"/>
  <c r="EI56" i="15" s="1"/>
  <c r="EJ56" i="15" s="1"/>
  <c r="EK56" i="15" s="1"/>
  <c r="AA56" i="15"/>
  <c r="AB56" i="15"/>
  <c r="Z56" i="15"/>
  <c r="AD56" i="15"/>
  <c r="P56" i="15"/>
  <c r="AE74" i="15"/>
  <c r="W57" i="15"/>
  <c r="T57" i="15"/>
  <c r="P74" i="15"/>
  <c r="U57" i="15"/>
  <c r="AE57" i="15"/>
  <c r="AG57" i="15" s="1"/>
  <c r="AH57" i="15" s="1"/>
  <c r="AI57" i="15" s="1"/>
  <c r="AJ57" i="15" s="1"/>
  <c r="AK57" i="15" s="1"/>
  <c r="AL57" i="15" s="1"/>
  <c r="AM57" i="15" s="1"/>
  <c r="AN57" i="15" s="1"/>
  <c r="AO57" i="15" s="1"/>
  <c r="AP57" i="15" s="1"/>
  <c r="AQ57" i="15" s="1"/>
  <c r="AR57" i="15" s="1"/>
  <c r="AS57" i="15" s="1"/>
  <c r="AT57" i="15" s="1"/>
  <c r="AU57" i="15" s="1"/>
  <c r="AV57" i="15" s="1"/>
  <c r="AW57" i="15" s="1"/>
  <c r="AX57" i="15" s="1"/>
  <c r="AY57" i="15" s="1"/>
  <c r="AZ57" i="15" s="1"/>
  <c r="BA57" i="15" s="1"/>
  <c r="BB57" i="15" s="1"/>
  <c r="BC57" i="15" s="1"/>
  <c r="BD57" i="15" s="1"/>
  <c r="BE57" i="15" s="1"/>
  <c r="BF57" i="15" s="1"/>
  <c r="BG57" i="15" s="1"/>
  <c r="BH57" i="15" s="1"/>
  <c r="BI57" i="15" s="1"/>
  <c r="BJ57" i="15" s="1"/>
  <c r="BK57" i="15" s="1"/>
  <c r="BL57" i="15" s="1"/>
  <c r="BM57" i="15" s="1"/>
  <c r="BN57" i="15" s="1"/>
  <c r="BO57" i="15" s="1"/>
  <c r="BP57" i="15" s="1"/>
  <c r="BQ57" i="15" s="1"/>
  <c r="BR57" i="15" s="1"/>
  <c r="BS57" i="15" s="1"/>
  <c r="BT57" i="15" s="1"/>
  <c r="BU57" i="15" s="1"/>
  <c r="BV57" i="15" s="1"/>
  <c r="BW57" i="15" s="1"/>
  <c r="BX57" i="15" s="1"/>
  <c r="BY57" i="15" s="1"/>
  <c r="BZ57" i="15" s="1"/>
  <c r="CA57" i="15" s="1"/>
  <c r="CB57" i="15" s="1"/>
  <c r="CC57" i="15" s="1"/>
  <c r="CD57" i="15" s="1"/>
  <c r="CE57" i="15" s="1"/>
  <c r="CF57" i="15" s="1"/>
  <c r="CG57" i="15" s="1"/>
  <c r="CH57" i="15" s="1"/>
  <c r="CI57" i="15" s="1"/>
  <c r="CJ57" i="15" s="1"/>
  <c r="CK57" i="15" s="1"/>
  <c r="CL57" i="15" s="1"/>
  <c r="CM57" i="15" s="1"/>
  <c r="CN57" i="15" s="1"/>
  <c r="CO57" i="15" s="1"/>
  <c r="CP57" i="15" s="1"/>
  <c r="CQ57" i="15" s="1"/>
  <c r="CR57" i="15" s="1"/>
  <c r="CS57" i="15" s="1"/>
  <c r="CT57" i="15" s="1"/>
  <c r="CU57" i="15" s="1"/>
  <c r="CV57" i="15" s="1"/>
  <c r="CW57" i="15" s="1"/>
  <c r="CX57" i="15" s="1"/>
  <c r="CY57" i="15" s="1"/>
  <c r="CZ57" i="15" s="1"/>
  <c r="DA57" i="15" s="1"/>
  <c r="DB57" i="15" s="1"/>
  <c r="DC57" i="15" s="1"/>
  <c r="DD57" i="15" s="1"/>
  <c r="DE57" i="15" s="1"/>
  <c r="DF57" i="15" s="1"/>
  <c r="DG57" i="15" s="1"/>
  <c r="DH57" i="15" s="1"/>
  <c r="DI57" i="15" s="1"/>
  <c r="DJ57" i="15" s="1"/>
  <c r="DK57" i="15" s="1"/>
  <c r="DL57" i="15" s="1"/>
  <c r="DM57" i="15" s="1"/>
  <c r="DN57" i="15" s="1"/>
  <c r="DO57" i="15" s="1"/>
  <c r="DP57" i="15" s="1"/>
  <c r="DQ57" i="15" s="1"/>
  <c r="DR57" i="15" s="1"/>
  <c r="DS57" i="15" s="1"/>
  <c r="DT57" i="15" s="1"/>
  <c r="DU57" i="15" s="1"/>
  <c r="DV57" i="15" s="1"/>
  <c r="DW57" i="15" s="1"/>
  <c r="DX57" i="15" s="1"/>
  <c r="DY57" i="15" s="1"/>
  <c r="DZ57" i="15" s="1"/>
  <c r="EA57" i="15" s="1"/>
  <c r="EB57" i="15" s="1"/>
  <c r="EC57" i="15" s="1"/>
  <c r="ED57" i="15" s="1"/>
  <c r="EE57" i="15" s="1"/>
  <c r="EF57" i="15" s="1"/>
  <c r="EG57" i="15" s="1"/>
  <c r="EH57" i="15" s="1"/>
  <c r="EI57" i="15" s="1"/>
  <c r="EJ57" i="15" s="1"/>
  <c r="EK57" i="15" s="1"/>
  <c r="EL57" i="15" s="1"/>
  <c r="AA57" i="15"/>
  <c r="Z57" i="15"/>
  <c r="X74" i="15"/>
  <c r="O74" i="15"/>
  <c r="U74" i="15"/>
  <c r="V57" i="15"/>
  <c r="AA74" i="15"/>
  <c r="Q58" i="15"/>
  <c r="AC57" i="15"/>
  <c r="V74" i="15"/>
  <c r="Y57" i="15"/>
  <c r="AB74" i="15"/>
  <c r="W74" i="15"/>
  <c r="J59" i="15"/>
  <c r="K60" i="15"/>
  <c r="R59" i="15"/>
  <c r="AB57" i="15"/>
  <c r="AF74" i="16" l="1"/>
  <c r="AH54" i="15"/>
  <c r="EW54" i="15"/>
  <c r="EX54" i="15" s="1"/>
  <c r="AH55" i="15"/>
  <c r="EW55" i="15" s="1"/>
  <c r="EX55" i="15" s="1"/>
  <c r="EW57" i="15"/>
  <c r="EX57" i="15" s="1"/>
  <c r="EW56" i="15"/>
  <c r="EX56" i="15" s="1"/>
  <c r="P57" i="16"/>
  <c r="V57" i="16"/>
  <c r="X57" i="16"/>
  <c r="T57" i="16"/>
  <c r="Z58" i="16"/>
  <c r="AC57" i="16"/>
  <c r="AF56" i="16"/>
  <c r="Q59" i="16"/>
  <c r="J60" i="16"/>
  <c r="N60" i="16" s="1"/>
  <c r="AI77" i="16" s="1"/>
  <c r="K61" i="16"/>
  <c r="R60" i="16"/>
  <c r="Y58" i="16"/>
  <c r="U58" i="16"/>
  <c r="AE58" i="16"/>
  <c r="AD58" i="16"/>
  <c r="W58" i="16"/>
  <c r="V58" i="16"/>
  <c r="X58" i="16"/>
  <c r="T58" i="16"/>
  <c r="AC58" i="16"/>
  <c r="AB58" i="16"/>
  <c r="AA58" i="16"/>
  <c r="O58" i="15"/>
  <c r="AF74" i="15"/>
  <c r="AF56" i="15"/>
  <c r="T74" i="15"/>
  <c r="AF57" i="15"/>
  <c r="R60" i="15"/>
  <c r="J60" i="15"/>
  <c r="N60" i="15" s="1"/>
  <c r="K61" i="15"/>
  <c r="Q59" i="15"/>
  <c r="O59" i="15" s="1"/>
  <c r="T75" i="16" l="1"/>
  <c r="U75" i="16"/>
  <c r="AC58" i="15"/>
  <c r="P59" i="15"/>
  <c r="AB58" i="15"/>
  <c r="Y58" i="15"/>
  <c r="AD58" i="15"/>
  <c r="W58" i="15"/>
  <c r="AA58" i="15"/>
  <c r="Z58" i="15"/>
  <c r="V58" i="15"/>
  <c r="AF57" i="16"/>
  <c r="AG74" i="16" s="1"/>
  <c r="AJ74" i="16" s="1"/>
  <c r="AF58" i="16"/>
  <c r="O59" i="16"/>
  <c r="Z59" i="16" s="1"/>
  <c r="J61" i="16"/>
  <c r="N61" i="16" s="1"/>
  <c r="AI78" i="16" s="1"/>
  <c r="K62" i="16"/>
  <c r="R61" i="16"/>
  <c r="Q60" i="16"/>
  <c r="O60" i="16" s="1"/>
  <c r="P60" i="16" s="1"/>
  <c r="P58" i="15"/>
  <c r="T58" i="15"/>
  <c r="AE58" i="15"/>
  <c r="AG58" i="15" s="1"/>
  <c r="AH58" i="15" s="1"/>
  <c r="AI58" i="15" s="1"/>
  <c r="X58" i="15"/>
  <c r="U58" i="15"/>
  <c r="Q60" i="15"/>
  <c r="K62" i="15"/>
  <c r="R61" i="15"/>
  <c r="J61" i="15"/>
  <c r="N61" i="15" s="1"/>
  <c r="T59" i="15"/>
  <c r="AA59" i="15"/>
  <c r="AC59" i="15"/>
  <c r="V59" i="15"/>
  <c r="AE59" i="15"/>
  <c r="AG59" i="15" s="1"/>
  <c r="AH59" i="15" s="1"/>
  <c r="AI59" i="15" s="1"/>
  <c r="Z59" i="15"/>
  <c r="W59" i="15"/>
  <c r="AB59" i="15"/>
  <c r="AD59" i="15"/>
  <c r="X59" i="15"/>
  <c r="U59" i="15"/>
  <c r="Y59" i="15"/>
  <c r="AF75" i="16" l="1"/>
  <c r="AG75" i="16" s="1"/>
  <c r="AJ75" i="16" s="1"/>
  <c r="EW59" i="15"/>
  <c r="EX59" i="15" s="1"/>
  <c r="EW58" i="15"/>
  <c r="EX58" i="15" s="1"/>
  <c r="AF58" i="15"/>
  <c r="AE59" i="16"/>
  <c r="T59" i="16"/>
  <c r="U59" i="16"/>
  <c r="AD59" i="16"/>
  <c r="W59" i="16"/>
  <c r="T76" i="16" s="1"/>
  <c r="AC59" i="16"/>
  <c r="AB59" i="16"/>
  <c r="P59" i="16"/>
  <c r="AA59" i="16"/>
  <c r="X59" i="16"/>
  <c r="V59" i="16"/>
  <c r="Y59" i="16"/>
  <c r="Q61" i="16"/>
  <c r="AC60" i="16"/>
  <c r="Y60" i="16"/>
  <c r="V60" i="16"/>
  <c r="U60" i="16"/>
  <c r="Z60" i="16"/>
  <c r="X60" i="16"/>
  <c r="T77" i="16" s="1"/>
  <c r="U77" i="16" s="1"/>
  <c r="V77" i="16" s="1"/>
  <c r="W77" i="16" s="1"/>
  <c r="T60" i="16"/>
  <c r="AB60" i="16"/>
  <c r="W60" i="16"/>
  <c r="AE60" i="16"/>
  <c r="R62" i="16"/>
  <c r="J62" i="16"/>
  <c r="N62" i="16" s="1"/>
  <c r="AI79" i="16" s="1"/>
  <c r="K63" i="16"/>
  <c r="AD60" i="16"/>
  <c r="AA60" i="16"/>
  <c r="O60" i="15"/>
  <c r="AF59" i="15"/>
  <c r="Q61" i="15"/>
  <c r="O61" i="15" s="1"/>
  <c r="J62" i="15"/>
  <c r="N62" i="15" s="1"/>
  <c r="K63" i="15"/>
  <c r="R62" i="15"/>
  <c r="U76" i="16" l="1"/>
  <c r="AF77" i="16"/>
  <c r="AG77" i="16" s="1"/>
  <c r="AJ77" i="16" s="1"/>
  <c r="P60" i="15"/>
  <c r="P61" i="15"/>
  <c r="X60" i="15"/>
  <c r="AE60" i="15"/>
  <c r="AG60" i="15" s="1"/>
  <c r="AH60" i="15" s="1"/>
  <c r="AI60" i="15" s="1"/>
  <c r="AA60" i="15"/>
  <c r="W60" i="15"/>
  <c r="V60" i="15"/>
  <c r="U60" i="15"/>
  <c r="AD60" i="15"/>
  <c r="Z60" i="15"/>
  <c r="Y60" i="15"/>
  <c r="AC60" i="15"/>
  <c r="T60" i="15"/>
  <c r="AF59" i="16"/>
  <c r="O61" i="16"/>
  <c r="U61" i="16" s="1"/>
  <c r="AF60" i="16"/>
  <c r="R63" i="16"/>
  <c r="J63" i="16"/>
  <c r="N63" i="16" s="1"/>
  <c r="AI80" i="16" s="1"/>
  <c r="K64" i="16"/>
  <c r="Q62" i="16"/>
  <c r="Y61" i="15"/>
  <c r="V61" i="15"/>
  <c r="AB60" i="15"/>
  <c r="AD61" i="15"/>
  <c r="AC61" i="15"/>
  <c r="U61" i="15"/>
  <c r="J63" i="15"/>
  <c r="N63" i="15" s="1"/>
  <c r="R63" i="15"/>
  <c r="K64" i="15"/>
  <c r="Z61" i="15"/>
  <c r="X61" i="15"/>
  <c r="AB61" i="15"/>
  <c r="AE61" i="15"/>
  <c r="AG61" i="15" s="1"/>
  <c r="AH61" i="15" s="1"/>
  <c r="AI61" i="15" s="1"/>
  <c r="AA61" i="15"/>
  <c r="T61" i="15"/>
  <c r="W61" i="15"/>
  <c r="Q62" i="15"/>
  <c r="V76" i="16" l="1"/>
  <c r="EW60" i="15"/>
  <c r="EX60" i="15" s="1"/>
  <c r="EW61" i="15"/>
  <c r="EX61" i="15" s="1"/>
  <c r="Y61" i="16"/>
  <c r="T78" i="16" s="1"/>
  <c r="T61" i="16"/>
  <c r="X61" i="16"/>
  <c r="AA61" i="16"/>
  <c r="Z61" i="16"/>
  <c r="AF60" i="15"/>
  <c r="V61" i="16"/>
  <c r="AD61" i="16"/>
  <c r="AC61" i="16"/>
  <c r="AE61" i="16"/>
  <c r="O62" i="16"/>
  <c r="P62" i="16" s="1"/>
  <c r="P61" i="16"/>
  <c r="W61" i="16"/>
  <c r="AB61" i="16"/>
  <c r="Q63" i="16"/>
  <c r="K65" i="16"/>
  <c r="R64" i="16"/>
  <c r="J64" i="16"/>
  <c r="N64" i="16" s="1"/>
  <c r="AI81" i="16" s="1"/>
  <c r="O62" i="15"/>
  <c r="AD62" i="15" s="1"/>
  <c r="Z62" i="15"/>
  <c r="U62" i="15"/>
  <c r="Q63" i="15"/>
  <c r="AF61" i="15"/>
  <c r="K65" i="15"/>
  <c r="R64" i="15"/>
  <c r="J64" i="15"/>
  <c r="N64" i="15" s="1"/>
  <c r="U78" i="16" l="1"/>
  <c r="AF76" i="16"/>
  <c r="AG76" i="16" s="1"/>
  <c r="AJ76" i="16" s="1"/>
  <c r="X62" i="15"/>
  <c r="AA62" i="15"/>
  <c r="T62" i="16"/>
  <c r="U62" i="16"/>
  <c r="AF61" i="16"/>
  <c r="AD62" i="16"/>
  <c r="AB62" i="15"/>
  <c r="V62" i="15"/>
  <c r="AA62" i="16"/>
  <c r="V62" i="16"/>
  <c r="AE62" i="16"/>
  <c r="W62" i="16"/>
  <c r="X62" i="16"/>
  <c r="Y62" i="16"/>
  <c r="Z62" i="16"/>
  <c r="T79" i="16" s="1"/>
  <c r="O63" i="16"/>
  <c r="P63" i="16" s="1"/>
  <c r="AB62" i="16"/>
  <c r="AC62" i="16"/>
  <c r="Q64" i="16"/>
  <c r="O64" i="16" s="1"/>
  <c r="P64" i="16" s="1"/>
  <c r="J65" i="16"/>
  <c r="N65" i="16" s="1"/>
  <c r="AI82" i="16" s="1"/>
  <c r="K66" i="16"/>
  <c r="R65" i="16"/>
  <c r="AC62" i="15"/>
  <c r="O63" i="15"/>
  <c r="P63" i="15" s="1"/>
  <c r="P62" i="15"/>
  <c r="T62" i="15"/>
  <c r="AE62" i="15"/>
  <c r="AG62" i="15" s="1"/>
  <c r="AH62" i="15" s="1"/>
  <c r="Y62" i="15"/>
  <c r="W62" i="15"/>
  <c r="Q64" i="15"/>
  <c r="J65" i="15"/>
  <c r="N65" i="15" s="1"/>
  <c r="K66" i="15"/>
  <c r="R65" i="15"/>
  <c r="U79" i="16" l="1"/>
  <c r="V79" i="16" s="1"/>
  <c r="W79" i="16" s="1"/>
  <c r="X79" i="16" s="1"/>
  <c r="Y79" i="16" s="1"/>
  <c r="V78" i="16"/>
  <c r="AI62" i="15"/>
  <c r="EW62" i="15" s="1"/>
  <c r="EX62" i="15" s="1"/>
  <c r="AD64" i="16"/>
  <c r="AD63" i="16"/>
  <c r="AE64" i="16"/>
  <c r="X63" i="15"/>
  <c r="U63" i="15"/>
  <c r="V63" i="15"/>
  <c r="AE63" i="15"/>
  <c r="AG63" i="15" s="1"/>
  <c r="AH63" i="15" s="1"/>
  <c r="AD63" i="15"/>
  <c r="X64" i="16"/>
  <c r="T63" i="16"/>
  <c r="AC63" i="16"/>
  <c r="V64" i="16"/>
  <c r="Y64" i="16"/>
  <c r="AB63" i="16"/>
  <c r="V63" i="16"/>
  <c r="Z63" i="16"/>
  <c r="AE63" i="16"/>
  <c r="Y63" i="16"/>
  <c r="AF62" i="16"/>
  <c r="W64" i="16"/>
  <c r="W63" i="16"/>
  <c r="X63" i="16"/>
  <c r="U64" i="16"/>
  <c r="T64" i="16"/>
  <c r="U63" i="16"/>
  <c r="AA63" i="16"/>
  <c r="T80" i="16" s="1"/>
  <c r="U80" i="16" s="1"/>
  <c r="V80" i="16" s="1"/>
  <c r="W80" i="16" s="1"/>
  <c r="X80" i="16" s="1"/>
  <c r="Y80" i="16" s="1"/>
  <c r="Z80" i="16" s="1"/>
  <c r="J66" i="16"/>
  <c r="N66" i="16" s="1"/>
  <c r="AI83" i="16" s="1"/>
  <c r="K67" i="16"/>
  <c r="R66" i="16"/>
  <c r="Q65" i="16"/>
  <c r="O65" i="16" s="1"/>
  <c r="P65" i="16" s="1"/>
  <c r="AC64" i="16"/>
  <c r="AA64" i="16"/>
  <c r="AB64" i="16"/>
  <c r="T81" i="16" s="1"/>
  <c r="Z64" i="16"/>
  <c r="AF62" i="15"/>
  <c r="O64" i="15"/>
  <c r="W63" i="15"/>
  <c r="AB63" i="15"/>
  <c r="AA63" i="15"/>
  <c r="T63" i="15"/>
  <c r="Z63" i="15"/>
  <c r="AC63" i="15"/>
  <c r="Y63" i="15"/>
  <c r="Q65" i="15"/>
  <c r="O65" i="15" s="1"/>
  <c r="R66" i="15"/>
  <c r="J66" i="15"/>
  <c r="N66" i="15" s="1"/>
  <c r="AG66" i="15" s="1"/>
  <c r="AH66" i="15" s="1"/>
  <c r="AI66" i="15" s="1"/>
  <c r="AJ66" i="15" s="1"/>
  <c r="AK66" i="15" s="1"/>
  <c r="AL66" i="15" s="1"/>
  <c r="AM66" i="15" s="1"/>
  <c r="AN66" i="15" s="1"/>
  <c r="AO66" i="15" s="1"/>
  <c r="AP66" i="15" s="1"/>
  <c r="AQ66" i="15" s="1"/>
  <c r="AR66" i="15" s="1"/>
  <c r="AS66" i="15" s="1"/>
  <c r="AT66" i="15" s="1"/>
  <c r="AU66" i="15" s="1"/>
  <c r="AV66" i="15" s="1"/>
  <c r="AW66" i="15" s="1"/>
  <c r="AX66" i="15" s="1"/>
  <c r="AY66" i="15" s="1"/>
  <c r="AZ66" i="15" s="1"/>
  <c r="BA66" i="15" s="1"/>
  <c r="BB66" i="15" s="1"/>
  <c r="BC66" i="15" s="1"/>
  <c r="BD66" i="15" s="1"/>
  <c r="BE66" i="15" s="1"/>
  <c r="BF66" i="15" s="1"/>
  <c r="BG66" i="15" s="1"/>
  <c r="BH66" i="15" s="1"/>
  <c r="BI66" i="15" s="1"/>
  <c r="BJ66" i="15" s="1"/>
  <c r="BK66" i="15" s="1"/>
  <c r="BL66" i="15" s="1"/>
  <c r="BM66" i="15" s="1"/>
  <c r="BN66" i="15" s="1"/>
  <c r="BO66" i="15" s="1"/>
  <c r="BP66" i="15" s="1"/>
  <c r="BQ66" i="15" s="1"/>
  <c r="BR66" i="15" s="1"/>
  <c r="BS66" i="15" s="1"/>
  <c r="BT66" i="15" s="1"/>
  <c r="BU66" i="15" s="1"/>
  <c r="BV66" i="15" s="1"/>
  <c r="BW66" i="15" s="1"/>
  <c r="BX66" i="15" s="1"/>
  <c r="BY66" i="15" s="1"/>
  <c r="BZ66" i="15" s="1"/>
  <c r="CA66" i="15" s="1"/>
  <c r="CB66" i="15" s="1"/>
  <c r="CC66" i="15" s="1"/>
  <c r="CD66" i="15" s="1"/>
  <c r="CE66" i="15" s="1"/>
  <c r="CF66" i="15" s="1"/>
  <c r="CG66" i="15" s="1"/>
  <c r="CH66" i="15" s="1"/>
  <c r="CI66" i="15" s="1"/>
  <c r="CJ66" i="15" s="1"/>
  <c r="CK66" i="15" s="1"/>
  <c r="CL66" i="15" s="1"/>
  <c r="CM66" i="15" s="1"/>
  <c r="CN66" i="15" s="1"/>
  <c r="CO66" i="15" s="1"/>
  <c r="CP66" i="15" s="1"/>
  <c r="CQ66" i="15" s="1"/>
  <c r="CR66" i="15" s="1"/>
  <c r="CS66" i="15" s="1"/>
  <c r="CT66" i="15" s="1"/>
  <c r="CU66" i="15" s="1"/>
  <c r="CV66" i="15" s="1"/>
  <c r="CW66" i="15" s="1"/>
  <c r="CX66" i="15" s="1"/>
  <c r="CY66" i="15" s="1"/>
  <c r="CZ66" i="15" s="1"/>
  <c r="DA66" i="15" s="1"/>
  <c r="DB66" i="15" s="1"/>
  <c r="DC66" i="15" s="1"/>
  <c r="DD66" i="15" s="1"/>
  <c r="DE66" i="15" s="1"/>
  <c r="DF66" i="15" s="1"/>
  <c r="DG66" i="15" s="1"/>
  <c r="DH66" i="15" s="1"/>
  <c r="DI66" i="15" s="1"/>
  <c r="DJ66" i="15" s="1"/>
  <c r="DK66" i="15" s="1"/>
  <c r="DL66" i="15" s="1"/>
  <c r="DM66" i="15" s="1"/>
  <c r="DN66" i="15" s="1"/>
  <c r="DO66" i="15" s="1"/>
  <c r="DP66" i="15" s="1"/>
  <c r="DQ66" i="15" s="1"/>
  <c r="DR66" i="15" s="1"/>
  <c r="DS66" i="15" s="1"/>
  <c r="DT66" i="15" s="1"/>
  <c r="DU66" i="15" s="1"/>
  <c r="DV66" i="15" s="1"/>
  <c r="DW66" i="15" s="1"/>
  <c r="DX66" i="15" s="1"/>
  <c r="DY66" i="15" s="1"/>
  <c r="DZ66" i="15" s="1"/>
  <c r="EA66" i="15" s="1"/>
  <c r="EB66" i="15" s="1"/>
  <c r="EC66" i="15" s="1"/>
  <c r="ED66" i="15" s="1"/>
  <c r="EE66" i="15" s="1"/>
  <c r="EF66" i="15" s="1"/>
  <c r="EG66" i="15" s="1"/>
  <c r="EH66" i="15" s="1"/>
  <c r="EI66" i="15" s="1"/>
  <c r="EJ66" i="15" s="1"/>
  <c r="EK66" i="15" s="1"/>
  <c r="EL66" i="15" s="1"/>
  <c r="EM66" i="15" s="1"/>
  <c r="EN66" i="15" s="1"/>
  <c r="EO66" i="15" s="1"/>
  <c r="EP66" i="15" s="1"/>
  <c r="EQ66" i="15" s="1"/>
  <c r="ER66" i="15" s="1"/>
  <c r="ES66" i="15" s="1"/>
  <c r="ET66" i="15" s="1"/>
  <c r="EU66" i="15" s="1"/>
  <c r="K67" i="15"/>
  <c r="W78" i="16" l="1"/>
  <c r="AF79" i="16"/>
  <c r="AG79" i="16" s="1"/>
  <c r="AJ79" i="16" s="1"/>
  <c r="AF80" i="16"/>
  <c r="U81" i="16"/>
  <c r="V81" i="16" s="1"/>
  <c r="W81" i="16" s="1"/>
  <c r="X81" i="16" s="1"/>
  <c r="Y81" i="16" s="1"/>
  <c r="Z81" i="16" s="1"/>
  <c r="AA81" i="16" s="1"/>
  <c r="AA65" i="15"/>
  <c r="AI63" i="15"/>
  <c r="EW63" i="15" s="1"/>
  <c r="EX63" i="15" s="1"/>
  <c r="T64" i="15"/>
  <c r="V64" i="15"/>
  <c r="AE64" i="15"/>
  <c r="AG64" i="15" s="1"/>
  <c r="AH64" i="15" s="1"/>
  <c r="AI64" i="15" s="1"/>
  <c r="AJ64" i="15" s="1"/>
  <c r="AK64" i="15" s="1"/>
  <c r="AL64" i="15" s="1"/>
  <c r="AM64" i="15" s="1"/>
  <c r="AN64" i="15" s="1"/>
  <c r="AO64" i="15" s="1"/>
  <c r="AP64" i="15" s="1"/>
  <c r="AQ64" i="15" s="1"/>
  <c r="AR64" i="15" s="1"/>
  <c r="AS64" i="15" s="1"/>
  <c r="AT64" i="15" s="1"/>
  <c r="AU64" i="15" s="1"/>
  <c r="AV64" i="15" s="1"/>
  <c r="AW64" i="15" s="1"/>
  <c r="AX64" i="15" s="1"/>
  <c r="AY64" i="15" s="1"/>
  <c r="AZ64" i="15" s="1"/>
  <c r="BA64" i="15" s="1"/>
  <c r="BB64" i="15" s="1"/>
  <c r="BC64" i="15" s="1"/>
  <c r="BD64" i="15" s="1"/>
  <c r="BE64" i="15" s="1"/>
  <c r="BF64" i="15" s="1"/>
  <c r="BG64" i="15" s="1"/>
  <c r="BH64" i="15" s="1"/>
  <c r="BI64" i="15" s="1"/>
  <c r="BJ64" i="15" s="1"/>
  <c r="BK64" i="15" s="1"/>
  <c r="BL64" i="15" s="1"/>
  <c r="BM64" i="15" s="1"/>
  <c r="BN64" i="15" s="1"/>
  <c r="BO64" i="15" s="1"/>
  <c r="BP64" i="15" s="1"/>
  <c r="BQ64" i="15" s="1"/>
  <c r="BR64" i="15" s="1"/>
  <c r="BS64" i="15" s="1"/>
  <c r="BT64" i="15" s="1"/>
  <c r="BU64" i="15" s="1"/>
  <c r="BV64" i="15" s="1"/>
  <c r="BW64" i="15" s="1"/>
  <c r="BX64" i="15" s="1"/>
  <c r="BY64" i="15" s="1"/>
  <c r="BZ64" i="15" s="1"/>
  <c r="CA64" i="15" s="1"/>
  <c r="CB64" i="15" s="1"/>
  <c r="CC64" i="15" s="1"/>
  <c r="CD64" i="15" s="1"/>
  <c r="CE64" i="15" s="1"/>
  <c r="CF64" i="15" s="1"/>
  <c r="CG64" i="15" s="1"/>
  <c r="CH64" i="15" s="1"/>
  <c r="CI64" i="15" s="1"/>
  <c r="CJ64" i="15" s="1"/>
  <c r="CK64" i="15" s="1"/>
  <c r="CL64" i="15" s="1"/>
  <c r="CM64" i="15" s="1"/>
  <c r="CN64" i="15" s="1"/>
  <c r="CO64" i="15" s="1"/>
  <c r="CP64" i="15" s="1"/>
  <c r="CQ64" i="15" s="1"/>
  <c r="CR64" i="15" s="1"/>
  <c r="CS64" i="15" s="1"/>
  <c r="CT64" i="15" s="1"/>
  <c r="CU64" i="15" s="1"/>
  <c r="CV64" i="15" s="1"/>
  <c r="CW64" i="15" s="1"/>
  <c r="CX64" i="15" s="1"/>
  <c r="CY64" i="15" s="1"/>
  <c r="CZ64" i="15" s="1"/>
  <c r="DA64" i="15" s="1"/>
  <c r="DB64" i="15" s="1"/>
  <c r="DC64" i="15" s="1"/>
  <c r="DD64" i="15" s="1"/>
  <c r="DE64" i="15" s="1"/>
  <c r="DF64" i="15" s="1"/>
  <c r="DG64" i="15" s="1"/>
  <c r="DH64" i="15" s="1"/>
  <c r="DI64" i="15" s="1"/>
  <c r="DJ64" i="15" s="1"/>
  <c r="DK64" i="15" s="1"/>
  <c r="DL64" i="15" s="1"/>
  <c r="DM64" i="15" s="1"/>
  <c r="DN64" i="15" s="1"/>
  <c r="DO64" i="15" s="1"/>
  <c r="DP64" i="15" s="1"/>
  <c r="DQ64" i="15" s="1"/>
  <c r="DR64" i="15" s="1"/>
  <c r="DS64" i="15" s="1"/>
  <c r="DT64" i="15" s="1"/>
  <c r="DU64" i="15" s="1"/>
  <c r="DV64" i="15" s="1"/>
  <c r="DW64" i="15" s="1"/>
  <c r="DX64" i="15" s="1"/>
  <c r="DY64" i="15" s="1"/>
  <c r="DZ64" i="15" s="1"/>
  <c r="EA64" i="15" s="1"/>
  <c r="EB64" i="15" s="1"/>
  <c r="EC64" i="15" s="1"/>
  <c r="ED64" i="15" s="1"/>
  <c r="EE64" i="15" s="1"/>
  <c r="EF64" i="15" s="1"/>
  <c r="EG64" i="15" s="1"/>
  <c r="EH64" i="15" s="1"/>
  <c r="EI64" i="15" s="1"/>
  <c r="EJ64" i="15" s="1"/>
  <c r="EK64" i="15" s="1"/>
  <c r="EL64" i="15" s="1"/>
  <c r="EM64" i="15" s="1"/>
  <c r="EN64" i="15" s="1"/>
  <c r="EO64" i="15" s="1"/>
  <c r="EP64" i="15" s="1"/>
  <c r="EQ64" i="15" s="1"/>
  <c r="ER64" i="15" s="1"/>
  <c r="ES64" i="15" s="1"/>
  <c r="X64" i="15"/>
  <c r="Z65" i="15"/>
  <c r="AB64" i="15"/>
  <c r="Y64" i="15"/>
  <c r="Z64" i="15"/>
  <c r="W64" i="15"/>
  <c r="AD64" i="15"/>
  <c r="AC64" i="15"/>
  <c r="AE65" i="15"/>
  <c r="AG65" i="15" s="1"/>
  <c r="AH65" i="15" s="1"/>
  <c r="AI65" i="15" s="1"/>
  <c r="AJ65" i="15" s="1"/>
  <c r="AK65" i="15" s="1"/>
  <c r="AL65" i="15" s="1"/>
  <c r="AM65" i="15" s="1"/>
  <c r="AN65" i="15" s="1"/>
  <c r="AO65" i="15" s="1"/>
  <c r="AP65" i="15" s="1"/>
  <c r="AQ65" i="15" s="1"/>
  <c r="AR65" i="15" s="1"/>
  <c r="AS65" i="15" s="1"/>
  <c r="AT65" i="15" s="1"/>
  <c r="AU65" i="15" s="1"/>
  <c r="AV65" i="15" s="1"/>
  <c r="AW65" i="15" s="1"/>
  <c r="AX65" i="15" s="1"/>
  <c r="AY65" i="15" s="1"/>
  <c r="AZ65" i="15" s="1"/>
  <c r="BA65" i="15" s="1"/>
  <c r="BB65" i="15" s="1"/>
  <c r="BC65" i="15" s="1"/>
  <c r="BD65" i="15" s="1"/>
  <c r="BE65" i="15" s="1"/>
  <c r="BF65" i="15" s="1"/>
  <c r="BG65" i="15" s="1"/>
  <c r="BH65" i="15" s="1"/>
  <c r="BI65" i="15" s="1"/>
  <c r="BJ65" i="15" s="1"/>
  <c r="BK65" i="15" s="1"/>
  <c r="BL65" i="15" s="1"/>
  <c r="BM65" i="15" s="1"/>
  <c r="BN65" i="15" s="1"/>
  <c r="BO65" i="15" s="1"/>
  <c r="BP65" i="15" s="1"/>
  <c r="BQ65" i="15" s="1"/>
  <c r="BR65" i="15" s="1"/>
  <c r="BS65" i="15" s="1"/>
  <c r="BT65" i="15" s="1"/>
  <c r="BU65" i="15" s="1"/>
  <c r="BV65" i="15" s="1"/>
  <c r="BW65" i="15" s="1"/>
  <c r="BX65" i="15" s="1"/>
  <c r="BY65" i="15" s="1"/>
  <c r="BZ65" i="15" s="1"/>
  <c r="CA65" i="15" s="1"/>
  <c r="CB65" i="15" s="1"/>
  <c r="CC65" i="15" s="1"/>
  <c r="CD65" i="15" s="1"/>
  <c r="CE65" i="15" s="1"/>
  <c r="CF65" i="15" s="1"/>
  <c r="CG65" i="15" s="1"/>
  <c r="CH65" i="15" s="1"/>
  <c r="CI65" i="15" s="1"/>
  <c r="CJ65" i="15" s="1"/>
  <c r="CK65" i="15" s="1"/>
  <c r="CL65" i="15" s="1"/>
  <c r="CM65" i="15" s="1"/>
  <c r="CN65" i="15" s="1"/>
  <c r="CO65" i="15" s="1"/>
  <c r="CP65" i="15" s="1"/>
  <c r="CQ65" i="15" s="1"/>
  <c r="CR65" i="15" s="1"/>
  <c r="CS65" i="15" s="1"/>
  <c r="CT65" i="15" s="1"/>
  <c r="CU65" i="15" s="1"/>
  <c r="CV65" i="15" s="1"/>
  <c r="CW65" i="15" s="1"/>
  <c r="CX65" i="15" s="1"/>
  <c r="CY65" i="15" s="1"/>
  <c r="CZ65" i="15" s="1"/>
  <c r="DA65" i="15" s="1"/>
  <c r="DB65" i="15" s="1"/>
  <c r="DC65" i="15" s="1"/>
  <c r="DD65" i="15" s="1"/>
  <c r="DE65" i="15" s="1"/>
  <c r="DF65" i="15" s="1"/>
  <c r="DG65" i="15" s="1"/>
  <c r="DH65" i="15" s="1"/>
  <c r="DI65" i="15" s="1"/>
  <c r="DJ65" i="15" s="1"/>
  <c r="DK65" i="15" s="1"/>
  <c r="DL65" i="15" s="1"/>
  <c r="DM65" i="15" s="1"/>
  <c r="DN65" i="15" s="1"/>
  <c r="DO65" i="15" s="1"/>
  <c r="DP65" i="15" s="1"/>
  <c r="DQ65" i="15" s="1"/>
  <c r="DR65" i="15" s="1"/>
  <c r="DS65" i="15" s="1"/>
  <c r="DT65" i="15" s="1"/>
  <c r="DU65" i="15" s="1"/>
  <c r="DV65" i="15" s="1"/>
  <c r="DW65" i="15" s="1"/>
  <c r="DX65" i="15" s="1"/>
  <c r="DY65" i="15" s="1"/>
  <c r="DZ65" i="15" s="1"/>
  <c r="EA65" i="15" s="1"/>
  <c r="EB65" i="15" s="1"/>
  <c r="EC65" i="15" s="1"/>
  <c r="ED65" i="15" s="1"/>
  <c r="EE65" i="15" s="1"/>
  <c r="EF65" i="15" s="1"/>
  <c r="EG65" i="15" s="1"/>
  <c r="EH65" i="15" s="1"/>
  <c r="EI65" i="15" s="1"/>
  <c r="EJ65" i="15" s="1"/>
  <c r="EK65" i="15" s="1"/>
  <c r="EL65" i="15" s="1"/>
  <c r="EM65" i="15" s="1"/>
  <c r="EN65" i="15" s="1"/>
  <c r="EO65" i="15" s="1"/>
  <c r="EP65" i="15" s="1"/>
  <c r="EQ65" i="15" s="1"/>
  <c r="ER65" i="15" s="1"/>
  <c r="ES65" i="15" s="1"/>
  <c r="ET65" i="15" s="1"/>
  <c r="AF63" i="16"/>
  <c r="AF64" i="16"/>
  <c r="AB65" i="16"/>
  <c r="AA65" i="16"/>
  <c r="Y65" i="16"/>
  <c r="Q66" i="16"/>
  <c r="O66" i="16" s="1"/>
  <c r="AD66" i="16" s="1"/>
  <c r="T83" i="16" s="1"/>
  <c r="J67" i="16"/>
  <c r="N67" i="16" s="1"/>
  <c r="AI84" i="16" s="1"/>
  <c r="K68" i="16"/>
  <c r="R67" i="16"/>
  <c r="V65" i="16"/>
  <c r="U65" i="16"/>
  <c r="W65" i="16"/>
  <c r="Z65" i="16"/>
  <c r="AD65" i="16"/>
  <c r="T65" i="16"/>
  <c r="AE65" i="16"/>
  <c r="AC65" i="16"/>
  <c r="T82" i="16" s="1"/>
  <c r="X65" i="16"/>
  <c r="AF63" i="15"/>
  <c r="P64" i="15"/>
  <c r="U64" i="15"/>
  <c r="Y65" i="15"/>
  <c r="AD65" i="15"/>
  <c r="P65" i="15"/>
  <c r="AA64" i="15"/>
  <c r="AB65" i="15"/>
  <c r="AC65" i="15"/>
  <c r="Q66" i="15"/>
  <c r="W65" i="15"/>
  <c r="X65" i="15"/>
  <c r="V65" i="15"/>
  <c r="K68" i="15"/>
  <c r="R67" i="15"/>
  <c r="J67" i="15"/>
  <c r="N67" i="15" s="1"/>
  <c r="T65" i="15"/>
  <c r="U65" i="15"/>
  <c r="U82" i="16" l="1"/>
  <c r="V82" i="16" s="1"/>
  <c r="W82" i="16" s="1"/>
  <c r="X82" i="16" s="1"/>
  <c r="Y82" i="16" s="1"/>
  <c r="Z82" i="16" s="1"/>
  <c r="AA82" i="16" s="1"/>
  <c r="AB82" i="16" s="1"/>
  <c r="AF82" i="16"/>
  <c r="AG80" i="16"/>
  <c r="AJ80" i="16" s="1"/>
  <c r="U83" i="16"/>
  <c r="T86" i="16"/>
  <c r="AF81" i="16"/>
  <c r="AG81" i="16" s="1"/>
  <c r="AJ81" i="16" s="1"/>
  <c r="X78" i="16"/>
  <c r="EW64" i="15"/>
  <c r="EX64" i="15" s="1"/>
  <c r="EW65" i="15"/>
  <c r="EX65" i="15" s="1"/>
  <c r="T66" i="16"/>
  <c r="AA66" i="16"/>
  <c r="P66" i="16"/>
  <c r="AF65" i="16"/>
  <c r="X66" i="16"/>
  <c r="W66" i="16"/>
  <c r="AC66" i="16"/>
  <c r="AB66" i="16"/>
  <c r="Y66" i="16"/>
  <c r="V66" i="16"/>
  <c r="Z66" i="16"/>
  <c r="AE66" i="16"/>
  <c r="Q67" i="16"/>
  <c r="N68" i="16"/>
  <c r="N69" i="16" s="1"/>
  <c r="U66" i="16"/>
  <c r="AF64" i="15"/>
  <c r="O66" i="15"/>
  <c r="AF65" i="15"/>
  <c r="Q67" i="15"/>
  <c r="N68" i="15"/>
  <c r="V83" i="16" l="1"/>
  <c r="U86" i="16"/>
  <c r="AF78" i="16"/>
  <c r="AG78" i="16" s="1"/>
  <c r="AJ78" i="16" s="1"/>
  <c r="AG82" i="16"/>
  <c r="AJ82" i="16" s="1"/>
  <c r="P66" i="15"/>
  <c r="EW66" i="15"/>
  <c r="EX66" i="15" s="1"/>
  <c r="Y66" i="15"/>
  <c r="AB66" i="15"/>
  <c r="U66" i="15"/>
  <c r="AC66" i="15"/>
  <c r="AE66" i="15"/>
  <c r="AD66" i="15"/>
  <c r="T66" i="15"/>
  <c r="X66" i="15"/>
  <c r="V66" i="15"/>
  <c r="Z66" i="15"/>
  <c r="O67" i="16"/>
  <c r="AE67" i="16" s="1"/>
  <c r="AE68" i="16" s="1"/>
  <c r="AE69" i="16" s="1"/>
  <c r="AF66" i="16"/>
  <c r="Q68" i="16"/>
  <c r="Q69" i="16" s="1"/>
  <c r="X67" i="16"/>
  <c r="X68" i="16" s="1"/>
  <c r="X69" i="16" s="1"/>
  <c r="X72" i="16" s="1"/>
  <c r="W66" i="15"/>
  <c r="O67" i="15"/>
  <c r="Y67" i="15" s="1"/>
  <c r="Y68" i="15" s="1"/>
  <c r="AA66" i="15"/>
  <c r="N75" i="15"/>
  <c r="N69" i="15"/>
  <c r="Q68" i="15"/>
  <c r="AI69" i="16" l="1"/>
  <c r="AI70" i="16" s="1"/>
  <c r="AE72" i="16"/>
  <c r="W83" i="16"/>
  <c r="V86" i="16"/>
  <c r="T67" i="16"/>
  <c r="AD67" i="15"/>
  <c r="AD68" i="15" s="1"/>
  <c r="AC67" i="15"/>
  <c r="AC68" i="15" s="1"/>
  <c r="AC75" i="15" s="1"/>
  <c r="AC79" i="15" s="1"/>
  <c r="AC67" i="16"/>
  <c r="AC68" i="16" s="1"/>
  <c r="AC69" i="16" s="1"/>
  <c r="AC72" i="16" s="1"/>
  <c r="AB67" i="16"/>
  <c r="AB68" i="16" s="1"/>
  <c r="AB69" i="16" s="1"/>
  <c r="AB72" i="16" s="1"/>
  <c r="AA67" i="16"/>
  <c r="AA68" i="16" s="1"/>
  <c r="AA69" i="16" s="1"/>
  <c r="AA72" i="16" s="1"/>
  <c r="W67" i="16"/>
  <c r="W68" i="16" s="1"/>
  <c r="W69" i="16" s="1"/>
  <c r="W72" i="16" s="1"/>
  <c r="AF66" i="15"/>
  <c r="V67" i="16"/>
  <c r="V68" i="16" s="1"/>
  <c r="V69" i="16" s="1"/>
  <c r="V72" i="16" s="1"/>
  <c r="Z67" i="16"/>
  <c r="Z68" i="16" s="1"/>
  <c r="Z69" i="16" s="1"/>
  <c r="Z72" i="16" s="1"/>
  <c r="Y67" i="16"/>
  <c r="Y68" i="16" s="1"/>
  <c r="Y69" i="16" s="1"/>
  <c r="Y72" i="16" s="1"/>
  <c r="AE67" i="15"/>
  <c r="AE68" i="15" s="1"/>
  <c r="AE69" i="15" s="1"/>
  <c r="AB67" i="15"/>
  <c r="AB68" i="15" s="1"/>
  <c r="AB75" i="15" s="1"/>
  <c r="AB79" i="15" s="1"/>
  <c r="N76" i="15"/>
  <c r="O68" i="16"/>
  <c r="O69" i="16" s="1"/>
  <c r="P67" i="16"/>
  <c r="P68" i="16" s="1"/>
  <c r="P69" i="16" s="1"/>
  <c r="U67" i="16"/>
  <c r="U68" i="16" s="1"/>
  <c r="U69" i="16" s="1"/>
  <c r="U72" i="16" s="1"/>
  <c r="AD67" i="16"/>
  <c r="AD68" i="16" s="1"/>
  <c r="AD69" i="16" s="1"/>
  <c r="AD72" i="16" s="1"/>
  <c r="T68" i="16"/>
  <c r="T69" i="16" s="1"/>
  <c r="T72" i="16" s="1"/>
  <c r="O68" i="15"/>
  <c r="T67" i="15"/>
  <c r="T68" i="15" s="1"/>
  <c r="T69" i="15" s="1"/>
  <c r="W67" i="15"/>
  <c r="W68" i="15" s="1"/>
  <c r="V67" i="15"/>
  <c r="V68" i="15" s="1"/>
  <c r="P67" i="15"/>
  <c r="P68" i="15" s="1"/>
  <c r="U67" i="15"/>
  <c r="U68" i="15" s="1"/>
  <c r="Z67" i="15"/>
  <c r="Z68" i="15" s="1"/>
  <c r="X67" i="15"/>
  <c r="X68" i="15" s="1"/>
  <c r="X75" i="15" s="1"/>
  <c r="X79" i="15" s="1"/>
  <c r="AA67" i="15"/>
  <c r="AA68" i="15" s="1"/>
  <c r="Y75" i="15"/>
  <c r="Y79" i="15" s="1"/>
  <c r="Y69" i="15"/>
  <c r="AD75" i="15"/>
  <c r="AD79" i="15" s="1"/>
  <c r="AD69" i="15"/>
  <c r="Q75" i="15"/>
  <c r="Q69" i="15"/>
  <c r="X83" i="16" l="1"/>
  <c r="W86" i="16"/>
  <c r="AC69" i="15"/>
  <c r="Y76" i="15"/>
  <c r="Q76" i="15"/>
  <c r="AB69" i="15"/>
  <c r="AE75" i="15"/>
  <c r="AD76" i="15"/>
  <c r="AC76" i="15"/>
  <c r="T75" i="15"/>
  <c r="T79" i="15" s="1"/>
  <c r="AB76" i="15"/>
  <c r="AF67" i="16"/>
  <c r="T76" i="15"/>
  <c r="AA69" i="15"/>
  <c r="AA75" i="15"/>
  <c r="AA79" i="15" s="1"/>
  <c r="W69" i="15"/>
  <c r="W75" i="15"/>
  <c r="W79" i="15" s="1"/>
  <c r="Z75" i="15"/>
  <c r="Z79" i="15" s="1"/>
  <c r="Z69" i="15"/>
  <c r="P69" i="15"/>
  <c r="P75" i="15"/>
  <c r="AF67" i="15"/>
  <c r="AF68" i="15" s="1"/>
  <c r="AF75" i="15" s="1"/>
  <c r="X69" i="15"/>
  <c r="X76" i="15" s="1"/>
  <c r="U69" i="15"/>
  <c r="U75" i="15"/>
  <c r="U79" i="15" s="1"/>
  <c r="V69" i="15"/>
  <c r="V75" i="15"/>
  <c r="V79" i="15" s="1"/>
  <c r="O75" i="15"/>
  <c r="O69" i="15"/>
  <c r="AF68" i="16" l="1"/>
  <c r="AF69" i="16" s="1"/>
  <c r="AG84" i="16"/>
  <c r="Y83" i="16"/>
  <c r="X86" i="16"/>
  <c r="AE76" i="15"/>
  <c r="AE79" i="15"/>
  <c r="Z76" i="15"/>
  <c r="AF69" i="15"/>
  <c r="AF76" i="15" s="1"/>
  <c r="P76" i="15"/>
  <c r="O76" i="15"/>
  <c r="U76" i="15"/>
  <c r="W76" i="15"/>
  <c r="V76" i="15"/>
  <c r="AA76" i="15"/>
  <c r="Z83" i="16" l="1"/>
  <c r="Y86" i="16"/>
  <c r="C18" i="14"/>
  <c r="E12" i="14"/>
  <c r="B12" i="14"/>
  <c r="D12" i="14" s="1"/>
  <c r="D10" i="14"/>
  <c r="F10" i="14" s="1"/>
  <c r="AA83" i="16" l="1"/>
  <c r="Z86" i="16"/>
  <c r="D14" i="14"/>
  <c r="D16" i="14" s="1"/>
  <c r="F12" i="14"/>
  <c r="G12" i="14" s="1"/>
  <c r="B14" i="14"/>
  <c r="AB83" i="16" l="1"/>
  <c r="AA86" i="16"/>
  <c r="F16" i="14"/>
  <c r="G14" i="14"/>
  <c r="AC83" i="16" l="1"/>
  <c r="AC86" i="16" s="1"/>
  <c r="AB86" i="16"/>
  <c r="AF83" i="16"/>
  <c r="AG83" i="16" s="1"/>
  <c r="AJ83" i="16" s="1"/>
  <c r="Q30" i="1"/>
  <c r="Q12" i="11"/>
  <c r="O20" i="13"/>
  <c r="D20" i="13"/>
  <c r="O19" i="13"/>
  <c r="C73" i="3"/>
  <c r="O18" i="13"/>
  <c r="C72" i="3"/>
  <c r="O17" i="13"/>
  <c r="C71" i="3"/>
  <c r="O16" i="13"/>
  <c r="C70" i="3"/>
  <c r="O15" i="13"/>
  <c r="K15" i="13"/>
  <c r="O14" i="13"/>
  <c r="N14" i="13"/>
  <c r="C49" i="3" s="1"/>
  <c r="K14" i="13"/>
  <c r="D14" i="13"/>
  <c r="O13" i="13"/>
  <c r="N13" i="13"/>
  <c r="O12" i="13"/>
  <c r="N12" i="13"/>
  <c r="O11" i="13"/>
  <c r="N11" i="13"/>
  <c r="O10" i="13"/>
  <c r="N10" i="13"/>
  <c r="O9" i="13"/>
  <c r="O8" i="13"/>
  <c r="N8" i="13"/>
  <c r="L8" i="13"/>
  <c r="J8" i="13"/>
  <c r="O7" i="13"/>
  <c r="N7" i="13"/>
  <c r="O6" i="13"/>
  <c r="N6" i="13"/>
  <c r="O5" i="13"/>
  <c r="N5" i="13"/>
  <c r="O4" i="13"/>
  <c r="N4" i="13"/>
  <c r="L4" i="13"/>
  <c r="J4" i="13"/>
  <c r="H4" i="13"/>
  <c r="H5" i="13" s="1"/>
  <c r="H6" i="13" s="1"/>
  <c r="H7" i="13" s="1"/>
  <c r="H8" i="13" s="1"/>
  <c r="H9" i="13" s="1"/>
  <c r="H10" i="13" s="1"/>
  <c r="H11" i="13" s="1"/>
  <c r="H12" i="13" s="1"/>
  <c r="H13" i="13" s="1"/>
  <c r="H14" i="13" s="1"/>
  <c r="O3" i="13"/>
  <c r="N3" i="13"/>
  <c r="L16" i="13"/>
  <c r="K9" i="13"/>
  <c r="J15" i="13"/>
  <c r="I8" i="13"/>
  <c r="C75" i="3" l="1"/>
  <c r="L9" i="13"/>
  <c r="K6" i="13"/>
  <c r="M2" i="13"/>
  <c r="P2" i="13" s="1"/>
  <c r="L6" i="13"/>
  <c r="N33" i="13"/>
  <c r="O33" i="13"/>
  <c r="H15" i="13"/>
  <c r="H16" i="13" s="1"/>
  <c r="H17" i="13" s="1"/>
  <c r="H18" i="13" s="1"/>
  <c r="H19" i="13" s="1"/>
  <c r="H20" i="13" s="1"/>
  <c r="I14" i="13"/>
  <c r="K4" i="13"/>
  <c r="K8" i="13"/>
  <c r="M8" i="13" s="1"/>
  <c r="P8" i="13" s="1"/>
  <c r="I13" i="13"/>
  <c r="J14" i="13"/>
  <c r="L15" i="13"/>
  <c r="I20" i="13"/>
  <c r="I7" i="13"/>
  <c r="I19" i="13"/>
  <c r="J20" i="13"/>
  <c r="I12" i="13"/>
  <c r="K13" i="13"/>
  <c r="L14" i="13"/>
  <c r="J19" i="13"/>
  <c r="K20" i="13"/>
  <c r="J13" i="13"/>
  <c r="J3" i="13"/>
  <c r="K7" i="13"/>
  <c r="J12" i="13"/>
  <c r="L13" i="13"/>
  <c r="I18" i="13"/>
  <c r="K19" i="13"/>
  <c r="L20" i="13"/>
  <c r="L3" i="13"/>
  <c r="I6" i="13"/>
  <c r="I11" i="13"/>
  <c r="K12" i="13"/>
  <c r="J18" i="13"/>
  <c r="L19" i="13"/>
  <c r="I3" i="13"/>
  <c r="J7" i="13"/>
  <c r="K3" i="13"/>
  <c r="L7" i="13"/>
  <c r="J6" i="13"/>
  <c r="J11" i="13"/>
  <c r="L12" i="13"/>
  <c r="I17" i="13"/>
  <c r="K18" i="13"/>
  <c r="I10" i="13"/>
  <c r="K11" i="13"/>
  <c r="J17" i="13"/>
  <c r="L18" i="13"/>
  <c r="I5" i="13"/>
  <c r="J10" i="13"/>
  <c r="L11" i="13"/>
  <c r="I16" i="13"/>
  <c r="K17" i="13"/>
  <c r="J5" i="13"/>
  <c r="I9" i="13"/>
  <c r="K10" i="13"/>
  <c r="J16" i="13"/>
  <c r="L17" i="13"/>
  <c r="K5" i="13"/>
  <c r="J9" i="13"/>
  <c r="L10" i="13"/>
  <c r="I15" i="13"/>
  <c r="K16" i="13"/>
  <c r="I4" i="13"/>
  <c r="L5" i="13"/>
  <c r="H21" i="13" l="1"/>
  <c r="H22" i="13" s="1"/>
  <c r="H23" i="13" s="1"/>
  <c r="H24" i="13" s="1"/>
  <c r="H25" i="13" s="1"/>
  <c r="H26" i="13" s="1"/>
  <c r="M11" i="13"/>
  <c r="P11" i="13" s="1"/>
  <c r="M6" i="13"/>
  <c r="P6" i="13" s="1"/>
  <c r="M20" i="13"/>
  <c r="P20" i="13" s="1"/>
  <c r="M10" i="13"/>
  <c r="P10" i="13" s="1"/>
  <c r="M4" i="13"/>
  <c r="P4" i="13" s="1"/>
  <c r="M9" i="13"/>
  <c r="P9" i="13" s="1"/>
  <c r="J33" i="13"/>
  <c r="M17" i="13"/>
  <c r="P17" i="13" s="1"/>
  <c r="M16" i="13"/>
  <c r="P16" i="13" s="1"/>
  <c r="L33" i="13"/>
  <c r="M14" i="13"/>
  <c r="P14" i="13" s="1"/>
  <c r="M13" i="13"/>
  <c r="P13" i="13" s="1"/>
  <c r="M5" i="13"/>
  <c r="P5" i="13" s="1"/>
  <c r="I33" i="13"/>
  <c r="M3" i="13"/>
  <c r="M19" i="13"/>
  <c r="P19" i="13" s="1"/>
  <c r="M15" i="13"/>
  <c r="K33" i="13"/>
  <c r="M12" i="13"/>
  <c r="P12" i="13" s="1"/>
  <c r="M18" i="13"/>
  <c r="P18" i="13" s="1"/>
  <c r="M7" i="13"/>
  <c r="P7" i="13" s="1"/>
  <c r="C30" i="9" l="1"/>
  <c r="F59" i="18" s="1"/>
  <c r="C60" i="9" s="1"/>
  <c r="P15" i="13"/>
  <c r="P3" i="13"/>
  <c r="M33" i="13"/>
  <c r="C32" i="9" l="1"/>
  <c r="M34" i="13"/>
  <c r="P33" i="13"/>
  <c r="P34" i="13" s="1"/>
  <c r="K60" i="9" l="1"/>
  <c r="C62" i="9"/>
  <c r="K62" i="9" s="1"/>
  <c r="F17" i="18"/>
  <c r="F19" i="18" s="1"/>
  <c r="F8" i="19" s="1"/>
  <c r="C19" i="18"/>
  <c r="C8" i="19" s="1"/>
  <c r="S4" i="9"/>
  <c r="S2" i="9"/>
  <c r="S3" i="9"/>
  <c r="B31" i="4"/>
  <c r="C17" i="19" l="1"/>
  <c r="K18" i="19" s="1"/>
  <c r="K9" i="19"/>
  <c r="L9" i="19" s="1"/>
  <c r="F61" i="18"/>
  <c r="F62" i="18" s="1"/>
  <c r="E50" i="18"/>
  <c r="Q8" i="9"/>
  <c r="E51" i="18" l="1"/>
  <c r="F50" i="18"/>
  <c r="S7" i="9"/>
  <c r="S5" i="9"/>
  <c r="B14" i="3"/>
  <c r="B15" i="3" s="1"/>
  <c r="B16" i="3" s="1"/>
  <c r="B17" i="3" s="1"/>
  <c r="B18" i="3" s="1"/>
  <c r="B19" i="3" s="1"/>
  <c r="E52" i="18" l="1"/>
  <c r="F51" i="18"/>
  <c r="F52" i="18" s="1"/>
  <c r="F42" i="18" s="1"/>
  <c r="S9" i="9"/>
  <c r="B29" i="3"/>
  <c r="B30" i="3" s="1"/>
  <c r="B31" i="3" s="1"/>
  <c r="B32" i="3" s="1"/>
  <c r="B33" i="3" s="1"/>
  <c r="B34" i="3" s="1"/>
  <c r="B25" i="8" l="1"/>
  <c r="B26" i="8" s="1"/>
  <c r="B27" i="8" s="1"/>
  <c r="B28" i="8" s="1"/>
  <c r="B29" i="8" s="1"/>
  <c r="B24" i="8"/>
  <c r="P15" i="1" l="1"/>
  <c r="M16" i="1" l="1"/>
  <c r="B34" i="1"/>
  <c r="B35" i="1" s="1"/>
  <c r="B36" i="1" s="1"/>
  <c r="B37" i="1" s="1"/>
  <c r="B38" i="1" s="1"/>
  <c r="B39" i="1" s="1"/>
  <c r="B40" i="1" s="1"/>
  <c r="B17" i="1"/>
  <c r="B18" i="1" s="1"/>
  <c r="B19" i="1" s="1"/>
  <c r="B20" i="1" s="1"/>
  <c r="B21" i="1" s="1"/>
  <c r="B22" i="1" s="1"/>
  <c r="C24" i="2"/>
  <c r="C29" i="2" s="1"/>
  <c r="G23" i="2"/>
  <c r="G22" i="2"/>
  <c r="G18" i="2"/>
  <c r="K24" i="2"/>
  <c r="G15" i="2"/>
  <c r="G13" i="2"/>
  <c r="G12" i="2"/>
  <c r="AD138" i="1" l="1"/>
  <c r="AB126" i="1"/>
  <c r="AF133" i="1"/>
  <c r="AC134" i="1"/>
  <c r="AA135" i="1"/>
  <c r="AN147" i="1"/>
  <c r="AM147" i="1"/>
  <c r="AN146" i="1"/>
  <c r="AN145" i="1"/>
  <c r="AN144" i="1"/>
  <c r="AN143" i="1"/>
  <c r="AN142" i="1"/>
  <c r="AN141" i="1"/>
  <c r="AN140" i="1"/>
  <c r="AN139" i="1"/>
  <c r="AN138" i="1"/>
  <c r="AN137" i="1"/>
  <c r="AN136" i="1"/>
  <c r="AN135" i="1"/>
  <c r="AD136" i="1"/>
  <c r="AL98" i="1"/>
  <c r="AL144" i="1" s="1"/>
  <c r="AK98" i="1"/>
  <c r="AK144" i="1" s="1"/>
  <c r="AJ98" i="1"/>
  <c r="AJ138" i="1" s="1"/>
  <c r="AI98" i="1"/>
  <c r="AI138" i="1" s="1"/>
  <c r="AH98" i="1"/>
  <c r="AH141" i="1" s="1"/>
  <c r="AG98" i="1"/>
  <c r="AG141" i="1" s="1"/>
  <c r="AE128" i="1"/>
  <c r="AD135" i="1"/>
  <c r="AB129" i="1"/>
  <c r="AG136" i="1" l="1"/>
  <c r="AI132" i="1"/>
  <c r="AI133" i="1"/>
  <c r="AG133" i="1"/>
  <c r="AH133" i="1"/>
  <c r="AJ133" i="1"/>
  <c r="AH136" i="1"/>
  <c r="AI136" i="1"/>
  <c r="AJ136" i="1"/>
  <c r="AL141" i="1"/>
  <c r="AL145" i="1"/>
  <c r="AK138" i="1"/>
  <c r="AL138" i="1"/>
  <c r="AL146" i="1"/>
  <c r="AM146" i="1" s="1"/>
  <c r="AK136" i="1"/>
  <c r="AL136" i="1"/>
  <c r="AI141" i="1"/>
  <c r="AK141" i="1"/>
  <c r="AK145" i="1"/>
  <c r="AJ141" i="1"/>
  <c r="AI134" i="1"/>
  <c r="AF135" i="1"/>
  <c r="AJ134" i="1"/>
  <c r="AI137" i="1"/>
  <c r="AL142" i="1"/>
  <c r="AB127" i="1"/>
  <c r="AF136" i="1"/>
  <c r="AK134" i="1"/>
  <c r="AC131" i="1"/>
  <c r="AF137" i="1"/>
  <c r="AG135" i="1"/>
  <c r="AK137" i="1"/>
  <c r="AI140" i="1"/>
  <c r="AJ143" i="1"/>
  <c r="AE130" i="1"/>
  <c r="AH139" i="1"/>
  <c r="AK139" i="1"/>
  <c r="AH137" i="1"/>
  <c r="AG140" i="1"/>
  <c r="AJ137" i="1"/>
  <c r="AH140" i="1"/>
  <c r="AI143" i="1"/>
  <c r="AC132" i="1"/>
  <c r="AG130" i="1"/>
  <c r="AH135" i="1"/>
  <c r="AL137" i="1"/>
  <c r="AJ140" i="1"/>
  <c r="AK143" i="1"/>
  <c r="AE129" i="1"/>
  <c r="AG139" i="1"/>
  <c r="AF130" i="1"/>
  <c r="AH142" i="1"/>
  <c r="AF131" i="1"/>
  <c r="AG134" i="1"/>
  <c r="AI142" i="1"/>
  <c r="AF132" i="1"/>
  <c r="AH134" i="1"/>
  <c r="AJ142" i="1"/>
  <c r="AF134" i="1"/>
  <c r="AL139" i="1"/>
  <c r="AC133" i="1"/>
  <c r="AG131" i="1"/>
  <c r="AI135" i="1"/>
  <c r="AG138" i="1"/>
  <c r="AK140" i="1"/>
  <c r="AL143" i="1"/>
  <c r="AE131" i="1"/>
  <c r="AI139" i="1"/>
  <c r="AJ139" i="1"/>
  <c r="AG137" i="1"/>
  <c r="AK142" i="1"/>
  <c r="AC135" i="1"/>
  <c r="AH131" i="1"/>
  <c r="AJ135" i="1"/>
  <c r="AH138" i="1"/>
  <c r="AL140" i="1"/>
  <c r="AJ144" i="1"/>
  <c r="AM144" i="1" s="1"/>
  <c r="AG132" i="1"/>
  <c r="AK135" i="1"/>
  <c r="AD137" i="1"/>
  <c r="AH132" i="1"/>
  <c r="AL135" i="1"/>
  <c r="AB131" i="1"/>
  <c r="AB132" i="1"/>
  <c r="AB133" i="1"/>
  <c r="AD128" i="1"/>
  <c r="AF138" i="1"/>
  <c r="AD129" i="1"/>
  <c r="AE134" i="1"/>
  <c r="AB136" i="1"/>
  <c r="AE135" i="1"/>
  <c r="AF140" i="1"/>
  <c r="AD131" i="1"/>
  <c r="AE136" i="1"/>
  <c r="AD132" i="1"/>
  <c r="AC129" i="1"/>
  <c r="AD134" i="1"/>
  <c r="AE139" i="1"/>
  <c r="AB130" i="1"/>
  <c r="AC136" i="1"/>
  <c r="AC137" i="1"/>
  <c r="AD127" i="1"/>
  <c r="AE132" i="1"/>
  <c r="AB134" i="1"/>
  <c r="AE133" i="1"/>
  <c r="AB135" i="1"/>
  <c r="AF139" i="1"/>
  <c r="AD130" i="1"/>
  <c r="AC126" i="1"/>
  <c r="AC127" i="1"/>
  <c r="AE137" i="1"/>
  <c r="AC128" i="1"/>
  <c r="AD133" i="1"/>
  <c r="AE138" i="1"/>
  <c r="AB125" i="1"/>
  <c r="AC130" i="1"/>
  <c r="AF129" i="1"/>
  <c r="AB128" i="1"/>
  <c r="AA124" i="1"/>
  <c r="AA125" i="1"/>
  <c r="AA126" i="1"/>
  <c r="AA128" i="1"/>
  <c r="AA129" i="1"/>
  <c r="AA130" i="1"/>
  <c r="AA131" i="1"/>
  <c r="AA132" i="1"/>
  <c r="AA127" i="1"/>
  <c r="AA133" i="1"/>
  <c r="AA134" i="1"/>
  <c r="AM141" i="1" l="1"/>
  <c r="AM145" i="1"/>
  <c r="AM139" i="1"/>
  <c r="AM138" i="1"/>
  <c r="AM140" i="1"/>
  <c r="AM143" i="1"/>
  <c r="AM142" i="1"/>
  <c r="AM136" i="1"/>
  <c r="AM137" i="1"/>
  <c r="I27" i="11" l="1"/>
  <c r="M27" i="11" s="1"/>
  <c r="I26" i="11"/>
  <c r="M26" i="11" s="1"/>
  <c r="I25" i="11"/>
  <c r="M25" i="11" s="1"/>
  <c r="I24" i="11"/>
  <c r="M24" i="11" s="1"/>
  <c r="I23" i="11"/>
  <c r="M23" i="11" s="1"/>
  <c r="I22" i="11"/>
  <c r="M22" i="11" s="1"/>
  <c r="I21" i="11"/>
  <c r="M21" i="11" s="1"/>
  <c r="I20" i="11"/>
  <c r="M20" i="11" s="1"/>
  <c r="I19" i="11"/>
  <c r="M19" i="11" s="1"/>
  <c r="I18" i="11"/>
  <c r="M18" i="11" s="1"/>
  <c r="I17" i="11"/>
  <c r="M17" i="11" s="1"/>
  <c r="R28" i="11"/>
  <c r="C16" i="4" s="1"/>
  <c r="I16" i="11"/>
  <c r="M16" i="11" s="1"/>
  <c r="M28" i="11" s="1"/>
  <c r="I28" i="11" l="1"/>
  <c r="F28" i="11"/>
  <c r="B22" i="4"/>
  <c r="AH34" i="7" l="1"/>
  <c r="D16" i="1" l="1"/>
  <c r="E182" i="10" l="1"/>
  <c r="G182" i="10" s="1"/>
  <c r="M33" i="3" l="1"/>
  <c r="AH22" i="7"/>
  <c r="M18" i="3"/>
  <c r="M17" i="3"/>
  <c r="M16" i="3"/>
  <c r="M15" i="3"/>
  <c r="M14" i="3"/>
  <c r="M13" i="3"/>
  <c r="M31" i="3" l="1"/>
  <c r="M32" i="3"/>
  <c r="M29" i="3"/>
  <c r="M28" i="3"/>
  <c r="M30" i="3"/>
  <c r="R29" i="8"/>
  <c r="F29" i="8"/>
  <c r="C29" i="8"/>
  <c r="D15" i="8" l="1"/>
  <c r="M34" i="1" l="1"/>
  <c r="E24" i="2" l="1"/>
  <c r="F24" i="2"/>
  <c r="G24" i="2"/>
  <c r="D24" i="2"/>
  <c r="G15" i="11" l="1"/>
  <c r="G16" i="11" s="1"/>
  <c r="G17" i="11" s="1"/>
  <c r="G18" i="11" s="1"/>
  <c r="G19" i="11" s="1"/>
  <c r="G20" i="11" s="1"/>
  <c r="G21" i="11" s="1"/>
  <c r="G22" i="11" s="1"/>
  <c r="G23" i="11" s="1"/>
  <c r="G24" i="11" s="1"/>
  <c r="G25" i="11" s="1"/>
  <c r="AM135" i="1"/>
  <c r="AM99" i="1"/>
  <c r="T124" i="1"/>
  <c r="R124" i="1"/>
  <c r="Q124" i="1"/>
  <c r="N111" i="1"/>
  <c r="G22" i="8" l="1"/>
  <c r="G23" i="8" s="1"/>
  <c r="H28" i="8"/>
  <c r="AL150" i="1"/>
  <c r="Q125" i="1"/>
  <c r="P124" i="1"/>
  <c r="R126" i="1"/>
  <c r="R125" i="1"/>
  <c r="T128" i="1"/>
  <c r="T127" i="1"/>
  <c r="T126" i="1"/>
  <c r="T125" i="1"/>
  <c r="S117" i="1"/>
  <c r="S116" i="1"/>
  <c r="S118" i="1"/>
  <c r="S126" i="1"/>
  <c r="S119" i="1"/>
  <c r="S124" i="1"/>
  <c r="S120" i="1"/>
  <c r="S125" i="1"/>
  <c r="S121" i="1"/>
  <c r="S122" i="1"/>
  <c r="S123" i="1"/>
  <c r="S127" i="1"/>
  <c r="H19" i="2" l="1"/>
  <c r="H18" i="2"/>
  <c r="L18" i="2" l="1"/>
  <c r="L19" i="2"/>
  <c r="C13" i="3"/>
  <c r="C14" i="3"/>
  <c r="T21" i="5" l="1"/>
  <c r="R21" i="5"/>
  <c r="R25" i="5"/>
  <c r="S21" i="5"/>
  <c r="S25" i="5"/>
  <c r="T25" i="5"/>
  <c r="H17" i="2"/>
  <c r="L17" i="2" l="1"/>
  <c r="M39" i="1"/>
  <c r="H15" i="2"/>
  <c r="H16" i="2"/>
  <c r="G26" i="11" l="1"/>
  <c r="G27" i="11" s="1"/>
  <c r="L16" i="2"/>
  <c r="L15" i="2"/>
  <c r="P21" i="5" l="1"/>
  <c r="Q21" i="5"/>
  <c r="P25" i="5"/>
  <c r="Q25" i="5"/>
  <c r="U24" i="5"/>
  <c r="U20" i="5"/>
  <c r="O21" i="5"/>
  <c r="O25" i="5"/>
  <c r="H13" i="2"/>
  <c r="H14" i="2"/>
  <c r="H12" i="2"/>
  <c r="L14" i="2" l="1"/>
  <c r="L12" i="2"/>
  <c r="L13" i="2"/>
  <c r="U25" i="5"/>
  <c r="U21" i="5"/>
  <c r="C34" i="3"/>
  <c r="I21" i="5" l="1"/>
  <c r="J21" i="5"/>
  <c r="K21" i="5"/>
  <c r="H21" i="5"/>
  <c r="L21" i="5"/>
  <c r="M21" i="5"/>
  <c r="I25" i="5"/>
  <c r="J25" i="5"/>
  <c r="K25" i="5"/>
  <c r="L25" i="5"/>
  <c r="M25" i="5"/>
  <c r="H25" i="5"/>
  <c r="I19" i="8"/>
  <c r="M19" i="8" s="1"/>
  <c r="I24" i="8"/>
  <c r="M24" i="8" s="1"/>
  <c r="I28" i="8"/>
  <c r="I17" i="8"/>
  <c r="M17" i="8" s="1"/>
  <c r="I18" i="8"/>
  <c r="M18" i="8" s="1"/>
  <c r="I20" i="8"/>
  <c r="M20" i="8" s="1"/>
  <c r="I21" i="8"/>
  <c r="M21" i="8" s="1"/>
  <c r="I23" i="8"/>
  <c r="M23" i="8" s="1"/>
  <c r="I25" i="8"/>
  <c r="M25" i="8" s="1"/>
  <c r="I26" i="8"/>
  <c r="M26" i="8" s="1"/>
  <c r="I27" i="8"/>
  <c r="M27" i="8" s="1"/>
  <c r="I16" i="8"/>
  <c r="H106" i="1"/>
  <c r="H107" i="1"/>
  <c r="H108" i="1"/>
  <c r="H109" i="1"/>
  <c r="H110" i="1"/>
  <c r="H111" i="1"/>
  <c r="H112" i="1"/>
  <c r="H113" i="1"/>
  <c r="H114" i="1"/>
  <c r="H115" i="1"/>
  <c r="H116" i="1"/>
  <c r="H105" i="1"/>
  <c r="G105" i="1"/>
  <c r="G106" i="1"/>
  <c r="G107" i="1"/>
  <c r="G108" i="1"/>
  <c r="G109" i="1"/>
  <c r="G110" i="1"/>
  <c r="G111" i="1"/>
  <c r="G112" i="1"/>
  <c r="G113" i="1"/>
  <c r="G114" i="1"/>
  <c r="G115" i="1"/>
  <c r="G104" i="1"/>
  <c r="F114" i="1"/>
  <c r="F104" i="1"/>
  <c r="F105" i="1"/>
  <c r="F106" i="1"/>
  <c r="F107" i="1"/>
  <c r="F108" i="1"/>
  <c r="F109" i="1"/>
  <c r="F110" i="1"/>
  <c r="F111" i="1"/>
  <c r="F112" i="1"/>
  <c r="F113" i="1"/>
  <c r="F103" i="1"/>
  <c r="E103" i="1"/>
  <c r="E104" i="1"/>
  <c r="E105" i="1"/>
  <c r="E106" i="1"/>
  <c r="E107" i="1"/>
  <c r="E108" i="1"/>
  <c r="E109" i="1"/>
  <c r="E110" i="1"/>
  <c r="E111" i="1"/>
  <c r="E112" i="1"/>
  <c r="E113" i="1"/>
  <c r="E102" i="1"/>
  <c r="D102" i="1"/>
  <c r="D103" i="1"/>
  <c r="D104" i="1"/>
  <c r="D105" i="1"/>
  <c r="D106" i="1"/>
  <c r="D107" i="1"/>
  <c r="D108" i="1"/>
  <c r="D109" i="1"/>
  <c r="D110" i="1"/>
  <c r="D111" i="1"/>
  <c r="D112" i="1"/>
  <c r="D101" i="1"/>
  <c r="C101" i="1"/>
  <c r="C102" i="1"/>
  <c r="C103" i="1"/>
  <c r="C104" i="1"/>
  <c r="C105" i="1"/>
  <c r="C106" i="1"/>
  <c r="C107" i="1"/>
  <c r="C108" i="1"/>
  <c r="C109" i="1"/>
  <c r="C110" i="1"/>
  <c r="C111" i="1"/>
  <c r="C100" i="1"/>
  <c r="AM100" i="1" s="1"/>
  <c r="P119" i="1"/>
  <c r="Q122" i="1"/>
  <c r="O115" i="1"/>
  <c r="J116" i="1"/>
  <c r="K109" i="1"/>
  <c r="L112" i="1"/>
  <c r="M113" i="1"/>
  <c r="AM101" i="1" l="1"/>
  <c r="AM104" i="1"/>
  <c r="G150" i="1" s="1"/>
  <c r="M28" i="8"/>
  <c r="M29" i="8" s="1"/>
  <c r="I29" i="8"/>
  <c r="AM105" i="1"/>
  <c r="H150" i="1" s="1"/>
  <c r="Z123" i="1"/>
  <c r="Z149" i="1" s="1"/>
  <c r="Z127" i="1"/>
  <c r="Z134" i="1"/>
  <c r="AM134" i="1" s="1"/>
  <c r="Z128" i="1"/>
  <c r="Z126" i="1"/>
  <c r="Z129" i="1"/>
  <c r="Z124" i="1"/>
  <c r="Z130" i="1"/>
  <c r="Z131" i="1"/>
  <c r="Z132" i="1"/>
  <c r="Z133" i="1"/>
  <c r="Z125" i="1"/>
  <c r="AM103" i="1"/>
  <c r="F150" i="1" s="1"/>
  <c r="X127" i="1"/>
  <c r="X129" i="1"/>
  <c r="X131" i="1"/>
  <c r="X124" i="1"/>
  <c r="X132" i="1"/>
  <c r="X125" i="1"/>
  <c r="X128" i="1"/>
  <c r="X130" i="1"/>
  <c r="X126" i="1"/>
  <c r="V122" i="1"/>
  <c r="V126" i="1"/>
  <c r="V128" i="1"/>
  <c r="V129" i="1"/>
  <c r="V130" i="1"/>
  <c r="V124" i="1"/>
  <c r="V125" i="1"/>
  <c r="V127" i="1"/>
  <c r="Y132" i="1"/>
  <c r="Y125" i="1"/>
  <c r="Y128" i="1"/>
  <c r="Y133" i="1"/>
  <c r="Y130" i="1"/>
  <c r="Y124" i="1"/>
  <c r="Y126" i="1"/>
  <c r="Y127" i="1"/>
  <c r="Y129" i="1"/>
  <c r="Y131" i="1"/>
  <c r="W123" i="1"/>
  <c r="W129" i="1"/>
  <c r="W126" i="1"/>
  <c r="W130" i="1"/>
  <c r="W131" i="1"/>
  <c r="W128" i="1"/>
  <c r="W125" i="1"/>
  <c r="W124" i="1"/>
  <c r="W127" i="1"/>
  <c r="U127" i="1"/>
  <c r="U129" i="1"/>
  <c r="U125" i="1"/>
  <c r="U126" i="1"/>
  <c r="U128" i="1"/>
  <c r="U124" i="1"/>
  <c r="AM98" i="1"/>
  <c r="AM102" i="1"/>
  <c r="E150" i="1" s="1"/>
  <c r="R116" i="1"/>
  <c r="R115" i="1"/>
  <c r="M16" i="8"/>
  <c r="J108" i="1"/>
  <c r="L116" i="1"/>
  <c r="E149" i="1"/>
  <c r="O123" i="1"/>
  <c r="Y123" i="1"/>
  <c r="Y122" i="1"/>
  <c r="I111" i="1"/>
  <c r="N115" i="1"/>
  <c r="N119" i="1"/>
  <c r="N112" i="1"/>
  <c r="N116" i="1"/>
  <c r="N120" i="1"/>
  <c r="N113" i="1"/>
  <c r="N117" i="1"/>
  <c r="N121" i="1"/>
  <c r="J111" i="1"/>
  <c r="J115" i="1"/>
  <c r="J107" i="1"/>
  <c r="J109" i="1"/>
  <c r="J113" i="1"/>
  <c r="J117" i="1"/>
  <c r="X121" i="1"/>
  <c r="X122" i="1"/>
  <c r="T118" i="1"/>
  <c r="T122" i="1"/>
  <c r="T119" i="1"/>
  <c r="T123" i="1"/>
  <c r="T120" i="1"/>
  <c r="T117" i="1"/>
  <c r="P116" i="1"/>
  <c r="P120" i="1"/>
  <c r="P113" i="1"/>
  <c r="P117" i="1"/>
  <c r="P121" i="1"/>
  <c r="P114" i="1"/>
  <c r="P118" i="1"/>
  <c r="P122" i="1"/>
  <c r="D150" i="1"/>
  <c r="I115" i="1"/>
  <c r="I109" i="1"/>
  <c r="J114" i="1"/>
  <c r="K119" i="1"/>
  <c r="K111" i="1"/>
  <c r="N122" i="1"/>
  <c r="O119" i="1"/>
  <c r="P115" i="1"/>
  <c r="R120" i="1"/>
  <c r="T121" i="1"/>
  <c r="I110" i="1"/>
  <c r="I108" i="1"/>
  <c r="I112" i="1"/>
  <c r="U121" i="1"/>
  <c r="U122" i="1"/>
  <c r="U119" i="1"/>
  <c r="U123" i="1"/>
  <c r="M114" i="1"/>
  <c r="M118" i="1"/>
  <c r="M110" i="1"/>
  <c r="M111" i="1"/>
  <c r="M115" i="1"/>
  <c r="M119" i="1"/>
  <c r="M112" i="1"/>
  <c r="M116" i="1"/>
  <c r="M120" i="1"/>
  <c r="W120" i="1"/>
  <c r="W121" i="1"/>
  <c r="W122" i="1"/>
  <c r="C149" i="1"/>
  <c r="D149" i="1"/>
  <c r="F149" i="1"/>
  <c r="G149" i="1"/>
  <c r="H149" i="1"/>
  <c r="I106" i="1"/>
  <c r="AM106" i="1" s="1"/>
  <c r="I114" i="1"/>
  <c r="I107" i="1"/>
  <c r="J112" i="1"/>
  <c r="K117" i="1"/>
  <c r="M121" i="1"/>
  <c r="N118" i="1"/>
  <c r="U118" i="1"/>
  <c r="X123" i="1"/>
  <c r="K112" i="1"/>
  <c r="K116" i="1"/>
  <c r="K108" i="1"/>
  <c r="K110" i="1"/>
  <c r="K114" i="1"/>
  <c r="K118" i="1"/>
  <c r="Q115" i="1"/>
  <c r="Q119" i="1"/>
  <c r="Q123" i="1"/>
  <c r="Q116" i="1"/>
  <c r="Q120" i="1"/>
  <c r="Q114" i="1"/>
  <c r="Q117" i="1"/>
  <c r="Q121" i="1"/>
  <c r="I116" i="1"/>
  <c r="K113" i="1"/>
  <c r="O116" i="1"/>
  <c r="O120" i="1"/>
  <c r="O112" i="1"/>
  <c r="O113" i="1"/>
  <c r="O117" i="1"/>
  <c r="O121" i="1"/>
  <c r="O114" i="1"/>
  <c r="O118" i="1"/>
  <c r="O122" i="1"/>
  <c r="L113" i="1"/>
  <c r="L117" i="1"/>
  <c r="L109" i="1"/>
  <c r="L110" i="1"/>
  <c r="L114" i="1"/>
  <c r="L118" i="1"/>
  <c r="L111" i="1"/>
  <c r="L115" i="1"/>
  <c r="L119" i="1"/>
  <c r="V123" i="1"/>
  <c r="V120" i="1"/>
  <c r="V119" i="1"/>
  <c r="V121" i="1"/>
  <c r="R117" i="1"/>
  <c r="R121" i="1"/>
  <c r="R118" i="1"/>
  <c r="R122" i="1"/>
  <c r="R119" i="1"/>
  <c r="R123" i="1"/>
  <c r="I117" i="1"/>
  <c r="I113" i="1"/>
  <c r="J118" i="1"/>
  <c r="J110" i="1"/>
  <c r="K115" i="1"/>
  <c r="L120" i="1"/>
  <c r="M117" i="1"/>
  <c r="N114" i="1"/>
  <c r="P123" i="1"/>
  <c r="Q118" i="1"/>
  <c r="U120" i="1"/>
  <c r="AM107" i="1" l="1"/>
  <c r="H27" i="8"/>
  <c r="AK150" i="1"/>
  <c r="AM114" i="1"/>
  <c r="AM111" i="1"/>
  <c r="N150" i="1" s="1"/>
  <c r="AM124" i="1"/>
  <c r="AM112" i="1"/>
  <c r="AM115" i="1"/>
  <c r="R150" i="1" s="1"/>
  <c r="AM108" i="1"/>
  <c r="AM109" i="1"/>
  <c r="AM110" i="1"/>
  <c r="AM116" i="1"/>
  <c r="AM133" i="1"/>
  <c r="AM113" i="1"/>
  <c r="AM117" i="1"/>
  <c r="AM121" i="1"/>
  <c r="AM125" i="1"/>
  <c r="AM126" i="1"/>
  <c r="AM129" i="1"/>
  <c r="AM118" i="1"/>
  <c r="AM119" i="1"/>
  <c r="AM128" i="1"/>
  <c r="AM127" i="1"/>
  <c r="AM122" i="1"/>
  <c r="AM131" i="1"/>
  <c r="AM120" i="1"/>
  <c r="AM130" i="1"/>
  <c r="AM132" i="1"/>
  <c r="AM123" i="1"/>
  <c r="S149" i="1"/>
  <c r="Y149" i="1"/>
  <c r="N149" i="1"/>
  <c r="R149" i="1"/>
  <c r="V149" i="1"/>
  <c r="M37" i="1"/>
  <c r="K149" i="1"/>
  <c r="I149" i="1"/>
  <c r="X149" i="1"/>
  <c r="M35" i="1"/>
  <c r="L149" i="1"/>
  <c r="U149" i="1"/>
  <c r="M149" i="1"/>
  <c r="T149" i="1"/>
  <c r="J149" i="1"/>
  <c r="M38" i="1"/>
  <c r="O149" i="1"/>
  <c r="Q149" i="1"/>
  <c r="C150" i="1"/>
  <c r="W149" i="1"/>
  <c r="P149" i="1"/>
  <c r="H23" i="8" l="1"/>
  <c r="AG150" i="1"/>
  <c r="H19" i="8"/>
  <c r="AD150" i="1"/>
  <c r="H20" i="8"/>
  <c r="AE150" i="1"/>
  <c r="H17" i="8"/>
  <c r="AB150" i="1"/>
  <c r="H26" i="8"/>
  <c r="AJ150" i="1"/>
  <c r="H16" i="8"/>
  <c r="AA150" i="1"/>
  <c r="H21" i="8"/>
  <c r="AF150" i="1"/>
  <c r="H25" i="8"/>
  <c r="AI150" i="1"/>
  <c r="H24" i="8"/>
  <c r="AH150" i="1"/>
  <c r="H18" i="8"/>
  <c r="AC150" i="1"/>
  <c r="S33" i="5"/>
  <c r="Z150" i="1"/>
  <c r="J150" i="1"/>
  <c r="L150" i="1"/>
  <c r="K150" i="1"/>
  <c r="U150" i="1"/>
  <c r="X150" i="1"/>
  <c r="Q150" i="1"/>
  <c r="P150" i="1"/>
  <c r="O150" i="1"/>
  <c r="V150" i="1"/>
  <c r="T150" i="1"/>
  <c r="M150" i="1"/>
  <c r="S150" i="1"/>
  <c r="W150" i="1"/>
  <c r="Y150" i="1"/>
  <c r="AM149" i="1"/>
  <c r="I150" i="1"/>
  <c r="M36" i="1"/>
  <c r="AM150" i="1" l="1"/>
  <c r="H29" i="8"/>
  <c r="P33" i="5"/>
  <c r="O33" i="5"/>
  <c r="R33" i="5"/>
  <c r="T33" i="5"/>
  <c r="Q33" i="5"/>
  <c r="AB149" i="1"/>
  <c r="U32" i="5"/>
  <c r="U33" i="5" l="1"/>
  <c r="N25" i="5"/>
  <c r="N24" i="5"/>
  <c r="N21" i="5"/>
  <c r="A15" i="4" l="1"/>
  <c r="A16" i="4" s="1"/>
  <c r="A17" i="4" s="1"/>
  <c r="A18" i="4" s="1"/>
  <c r="A19" i="4" l="1"/>
  <c r="A22" i="4" s="1"/>
  <c r="A23" i="4" s="1"/>
  <c r="A24" i="4" s="1"/>
  <c r="A25" i="4" s="1"/>
  <c r="A26" i="4" s="1"/>
  <c r="A28" i="4" s="1"/>
  <c r="A32" i="4" s="1"/>
  <c r="A34" i="4" s="1"/>
  <c r="A36" i="4" s="1"/>
  <c r="H20" i="2"/>
  <c r="H21" i="2"/>
  <c r="H22" i="2"/>
  <c r="H23" i="2"/>
  <c r="L22" i="2" l="1"/>
  <c r="L23" i="2"/>
  <c r="L21" i="2"/>
  <c r="L20" i="2"/>
  <c r="C18" i="3"/>
  <c r="C17" i="3"/>
  <c r="C16" i="3"/>
  <c r="C15" i="3"/>
  <c r="C19" i="3" l="1"/>
  <c r="H24" i="2"/>
  <c r="L24" i="2" l="1"/>
  <c r="C22" i="1"/>
  <c r="C40" i="1" s="1"/>
  <c r="H29" i="5" l="1"/>
  <c r="M19" i="1"/>
  <c r="M18" i="1"/>
  <c r="D17" i="1"/>
  <c r="D18" i="1" s="1"/>
  <c r="D19" i="1" s="1"/>
  <c r="D20" i="1" s="1"/>
  <c r="M21" i="1"/>
  <c r="M17" i="1"/>
  <c r="M20" i="1"/>
  <c r="N16" i="1"/>
  <c r="O16" i="1" s="1"/>
  <c r="M22" i="1" l="1"/>
  <c r="M40" i="1" s="1"/>
  <c r="P16" i="1"/>
  <c r="D21" i="1"/>
  <c r="K33" i="5"/>
  <c r="I33" i="5"/>
  <c r="L29" i="5"/>
  <c r="M33" i="5"/>
  <c r="J33" i="5"/>
  <c r="L33" i="5"/>
  <c r="N20" i="1"/>
  <c r="D34" i="1" l="1"/>
  <c r="D35" i="1" s="1"/>
  <c r="D36" i="1" s="1"/>
  <c r="D37" i="1" s="1"/>
  <c r="D38" i="1" s="1"/>
  <c r="D39" i="1" s="1"/>
  <c r="D22" i="8"/>
  <c r="D23" i="8" s="1"/>
  <c r="K29" i="5"/>
  <c r="G15" i="8"/>
  <c r="G16" i="8" s="1"/>
  <c r="G17" i="8" s="1"/>
  <c r="G18" i="8" s="1"/>
  <c r="G19" i="8" s="1"/>
  <c r="G20" i="8" s="1"/>
  <c r="G21" i="8" s="1"/>
  <c r="G24" i="8" s="1"/>
  <c r="G25" i="8" s="1"/>
  <c r="G26" i="8" s="1"/>
  <c r="G27" i="8" s="1"/>
  <c r="G28" i="8" s="1"/>
  <c r="H33" i="5"/>
  <c r="N32" i="5"/>
  <c r="N19" i="1"/>
  <c r="N18" i="1"/>
  <c r="D52" i="1" l="1"/>
  <c r="D53" i="1" s="1"/>
  <c r="D54" i="1" s="1"/>
  <c r="D55" i="1" s="1"/>
  <c r="D56" i="1" s="1"/>
  <c r="D57" i="1" s="1"/>
  <c r="D51" i="1"/>
  <c r="N33" i="5"/>
  <c r="J29" i="5"/>
  <c r="N17" i="1"/>
  <c r="O17" i="1" s="1"/>
  <c r="O18" i="1" s="1"/>
  <c r="O19" i="1" s="1"/>
  <c r="O20" i="1" s="1"/>
  <c r="I29" i="5"/>
  <c r="N21" i="1"/>
  <c r="E22" i="1"/>
  <c r="E40" i="1" s="1"/>
  <c r="D70" i="1" l="1"/>
  <c r="D71" i="1" s="1"/>
  <c r="D72" i="1" s="1"/>
  <c r="D73" i="1" s="1"/>
  <c r="D74" i="1" s="1"/>
  <c r="D75" i="1" s="1"/>
  <c r="D15" i="11" s="1"/>
  <c r="O21" i="1"/>
  <c r="Q16" i="1"/>
  <c r="M29" i="5"/>
  <c r="N29" i="5" s="1"/>
  <c r="P17" i="1"/>
  <c r="N22" i="1"/>
  <c r="N28" i="5"/>
  <c r="S16" i="1" l="1"/>
  <c r="J22" i="8"/>
  <c r="J23" i="8" s="1"/>
  <c r="Q17" i="1"/>
  <c r="P18" i="1"/>
  <c r="P19" i="1"/>
  <c r="V21" i="1" l="1"/>
  <c r="Q18" i="1"/>
  <c r="S18" i="1" s="1"/>
  <c r="D13" i="3"/>
  <c r="F13" i="3" s="1"/>
  <c r="G13" i="3" s="1"/>
  <c r="H13" i="3" s="1"/>
  <c r="T16" i="1"/>
  <c r="Q19" i="1"/>
  <c r="D16" i="11"/>
  <c r="S17" i="1"/>
  <c r="L22" i="8"/>
  <c r="D17" i="11" l="1"/>
  <c r="E16" i="11"/>
  <c r="K16" i="11" s="1"/>
  <c r="P20" i="1"/>
  <c r="Q20" i="1" s="1"/>
  <c r="S19" i="1"/>
  <c r="T18" i="1"/>
  <c r="E14" i="3"/>
  <c r="D14" i="3"/>
  <c r="F14" i="3" s="1"/>
  <c r="D18" i="11"/>
  <c r="E17" i="11"/>
  <c r="K17" i="11" s="1"/>
  <c r="T17" i="1"/>
  <c r="D15" i="3"/>
  <c r="F15" i="3" s="1"/>
  <c r="L16" i="11" l="1"/>
  <c r="L17" i="11" s="1"/>
  <c r="G14" i="3"/>
  <c r="H14" i="3" s="1"/>
  <c r="N16" i="11"/>
  <c r="N17" i="11"/>
  <c r="T19" i="1"/>
  <c r="J13" i="3"/>
  <c r="K13" i="3" s="1"/>
  <c r="N13" i="3" s="1"/>
  <c r="E15" i="3"/>
  <c r="G15" i="3" s="1"/>
  <c r="H15" i="3" s="1"/>
  <c r="D16" i="3"/>
  <c r="F16" i="3" s="1"/>
  <c r="O22" i="8"/>
  <c r="P21" i="1"/>
  <c r="D19" i="11"/>
  <c r="E18" i="11"/>
  <c r="K18" i="11" s="1"/>
  <c r="L18" i="11" l="1"/>
  <c r="N18" i="11"/>
  <c r="J14" i="3"/>
  <c r="K14" i="3" s="1"/>
  <c r="N14" i="3" s="1"/>
  <c r="Q21" i="1"/>
  <c r="O13" i="3"/>
  <c r="S20" i="1"/>
  <c r="T20" i="1" s="1"/>
  <c r="D20" i="11"/>
  <c r="E19" i="11"/>
  <c r="K19" i="11" s="1"/>
  <c r="L19" i="11" s="1"/>
  <c r="E16" i="3" l="1"/>
  <c r="G16" i="3" s="1"/>
  <c r="H16" i="3" s="1"/>
  <c r="O14" i="3"/>
  <c r="D17" i="3"/>
  <c r="F17" i="3" s="1"/>
  <c r="S21" i="1"/>
  <c r="Q22" i="1"/>
  <c r="J15" i="3"/>
  <c r="K15" i="3" s="1"/>
  <c r="E20" i="11"/>
  <c r="K20" i="11" s="1"/>
  <c r="L20" i="11" s="1"/>
  <c r="D21" i="11"/>
  <c r="N15" i="3" l="1"/>
  <c r="E17" i="3"/>
  <c r="G17" i="3" s="1"/>
  <c r="H17" i="3" s="1"/>
  <c r="J16" i="3"/>
  <c r="K16" i="3" s="1"/>
  <c r="N19" i="11"/>
  <c r="T21" i="1"/>
  <c r="D18" i="3"/>
  <c r="F18" i="3" s="1"/>
  <c r="S22" i="1"/>
  <c r="D22" i="11"/>
  <c r="E21" i="11"/>
  <c r="K21" i="11" s="1"/>
  <c r="L21" i="11" s="1"/>
  <c r="D19" i="3" l="1"/>
  <c r="N16" i="3"/>
  <c r="O16" i="3" s="1"/>
  <c r="O15" i="3"/>
  <c r="T22" i="1"/>
  <c r="N20" i="11"/>
  <c r="E18" i="3"/>
  <c r="G18" i="3" s="1"/>
  <c r="H18" i="3" s="1"/>
  <c r="D23" i="11"/>
  <c r="E22" i="11"/>
  <c r="K22" i="11" s="1"/>
  <c r="L22" i="11" s="1"/>
  <c r="N21" i="11" l="1"/>
  <c r="J17" i="3"/>
  <c r="K17" i="3" s="1"/>
  <c r="N17" i="3" s="1"/>
  <c r="D24" i="11"/>
  <c r="E23" i="11"/>
  <c r="K23" i="11" s="1"/>
  <c r="L23" i="11" s="1"/>
  <c r="J15" i="8"/>
  <c r="J16" i="8" s="1"/>
  <c r="D16" i="8"/>
  <c r="E16" i="8" s="1"/>
  <c r="N23" i="11" l="1"/>
  <c r="N22" i="11"/>
  <c r="O17" i="3"/>
  <c r="D25" i="11"/>
  <c r="E24" i="11"/>
  <c r="K24" i="11" s="1"/>
  <c r="L24" i="11" s="1"/>
  <c r="D17" i="8"/>
  <c r="K16" i="8"/>
  <c r="J17" i="8"/>
  <c r="N24" i="11" l="1"/>
  <c r="J18" i="3"/>
  <c r="K18" i="3" s="1"/>
  <c r="N18" i="3" s="1"/>
  <c r="N19" i="3" s="1"/>
  <c r="D26" i="11"/>
  <c r="E25" i="11"/>
  <c r="K25" i="11" s="1"/>
  <c r="L25" i="11" s="1"/>
  <c r="E17" i="8"/>
  <c r="K17" i="8" s="1"/>
  <c r="N17" i="8" s="1"/>
  <c r="D18" i="8"/>
  <c r="N16" i="8"/>
  <c r="J18" i="8"/>
  <c r="N25" i="11" l="1"/>
  <c r="O18" i="3"/>
  <c r="E28" i="3" s="1"/>
  <c r="E26" i="11"/>
  <c r="K26" i="11" s="1"/>
  <c r="L26" i="11" s="1"/>
  <c r="D27" i="11"/>
  <c r="E18" i="8"/>
  <c r="K18" i="8" s="1"/>
  <c r="N18" i="8" s="1"/>
  <c r="D19" i="8"/>
  <c r="J19" i="8"/>
  <c r="N26" i="11" l="1"/>
  <c r="E27" i="11"/>
  <c r="E19" i="8"/>
  <c r="D20" i="8"/>
  <c r="J20" i="8"/>
  <c r="E28" i="11" l="1"/>
  <c r="K27" i="11"/>
  <c r="K19" i="8"/>
  <c r="E20" i="8"/>
  <c r="K20" i="8" s="1"/>
  <c r="N20" i="8" s="1"/>
  <c r="D21" i="8"/>
  <c r="J21" i="8"/>
  <c r="L27" i="11" l="1"/>
  <c r="K28" i="11"/>
  <c r="N27" i="11"/>
  <c r="E21" i="8"/>
  <c r="K21" i="8" s="1"/>
  <c r="N21" i="8" s="1"/>
  <c r="N19" i="8"/>
  <c r="J15" i="11" l="1"/>
  <c r="J16" i="11" s="1"/>
  <c r="E23" i="8"/>
  <c r="D24" i="8"/>
  <c r="J24" i="8"/>
  <c r="J17" i="11" l="1"/>
  <c r="J18" i="11"/>
  <c r="E24" i="8"/>
  <c r="D25" i="8"/>
  <c r="K23" i="8"/>
  <c r="L23" i="8" s="1"/>
  <c r="J25" i="8"/>
  <c r="J19" i="11" l="1"/>
  <c r="O29" i="5"/>
  <c r="N34" i="1"/>
  <c r="K24" i="8"/>
  <c r="N24" i="8" s="1"/>
  <c r="E25" i="8"/>
  <c r="D26" i="8"/>
  <c r="N23" i="8"/>
  <c r="J26" i="8"/>
  <c r="J20" i="11" l="1"/>
  <c r="O34" i="1"/>
  <c r="N36" i="1"/>
  <c r="O23" i="8"/>
  <c r="O24" i="8" s="1"/>
  <c r="D27" i="8"/>
  <c r="E26" i="8"/>
  <c r="K25" i="8"/>
  <c r="J27" i="8"/>
  <c r="J21" i="11" l="1"/>
  <c r="P34" i="1"/>
  <c r="Q34" i="1" s="1"/>
  <c r="S34" i="1" s="1"/>
  <c r="N35" i="1"/>
  <c r="Q29" i="5"/>
  <c r="P29" i="5"/>
  <c r="K26" i="8"/>
  <c r="N26" i="8" s="1"/>
  <c r="N25" i="8"/>
  <c r="O25" i="8" s="1"/>
  <c r="D28" i="8"/>
  <c r="E27" i="8"/>
  <c r="J28" i="8"/>
  <c r="J22" i="11" l="1"/>
  <c r="O35" i="1"/>
  <c r="O36" i="1" s="1"/>
  <c r="N28" i="11"/>
  <c r="C14" i="4"/>
  <c r="T34" i="1"/>
  <c r="D28" i="3"/>
  <c r="O26" i="8"/>
  <c r="K27" i="8"/>
  <c r="N27" i="8" s="1"/>
  <c r="P35" i="1"/>
  <c r="Q35" i="1" s="1"/>
  <c r="N37" i="1"/>
  <c r="E28" i="8"/>
  <c r="J23" i="11" l="1"/>
  <c r="F28" i="3"/>
  <c r="G28" i="3" s="1"/>
  <c r="H28" i="3" s="1"/>
  <c r="O37" i="1"/>
  <c r="O27" i="8"/>
  <c r="R29" i="5"/>
  <c r="S35" i="1"/>
  <c r="N38" i="1"/>
  <c r="P36" i="1"/>
  <c r="Q36" i="1" s="1"/>
  <c r="K28" i="8"/>
  <c r="E29" i="8"/>
  <c r="J24" i="11" l="1"/>
  <c r="E29" i="3"/>
  <c r="O38" i="1"/>
  <c r="J28" i="3"/>
  <c r="K28" i="3" s="1"/>
  <c r="N28" i="3" s="1"/>
  <c r="D29" i="3"/>
  <c r="T35" i="1"/>
  <c r="S29" i="5"/>
  <c r="S36" i="1"/>
  <c r="P38" i="1"/>
  <c r="Q38" i="1" s="1"/>
  <c r="P37" i="1"/>
  <c r="Q37" i="1" s="1"/>
  <c r="N28" i="8"/>
  <c r="O28" i="8" s="1"/>
  <c r="K29" i="8"/>
  <c r="J25" i="11" l="1"/>
  <c r="F29" i="3"/>
  <c r="G29" i="3" s="1"/>
  <c r="H29" i="3" s="1"/>
  <c r="O28" i="3"/>
  <c r="D30" i="3"/>
  <c r="F30" i="3" s="1"/>
  <c r="T36" i="1"/>
  <c r="S37" i="1"/>
  <c r="S38" i="1"/>
  <c r="T29" i="5"/>
  <c r="U28" i="5"/>
  <c r="N29" i="8"/>
  <c r="N39" i="1"/>
  <c r="N40" i="1" s="1"/>
  <c r="L24" i="8"/>
  <c r="P23" i="8"/>
  <c r="J26" i="11" l="1"/>
  <c r="J29" i="3"/>
  <c r="K29" i="3" s="1"/>
  <c r="N29" i="3" s="1"/>
  <c r="E30" i="3"/>
  <c r="G30" i="3" s="1"/>
  <c r="H30" i="3" s="1"/>
  <c r="O39" i="1"/>
  <c r="O51" i="1" s="1"/>
  <c r="O52" i="1" s="1"/>
  <c r="D32" i="3"/>
  <c r="F32" i="3" s="1"/>
  <c r="V38" i="1"/>
  <c r="D31" i="3"/>
  <c r="F31" i="3" s="1"/>
  <c r="U29" i="5"/>
  <c r="T38" i="1"/>
  <c r="T37" i="1"/>
  <c r="Q23" i="8"/>
  <c r="S23" i="8" s="1"/>
  <c r="L15" i="8"/>
  <c r="L16" i="8" s="1"/>
  <c r="L25" i="8"/>
  <c r="P24" i="8"/>
  <c r="O53" i="1" l="1"/>
  <c r="P52" i="1"/>
  <c r="Q52" i="1" s="1"/>
  <c r="J27" i="11"/>
  <c r="O29" i="3"/>
  <c r="J30" i="3"/>
  <c r="K30" i="3" s="1"/>
  <c r="N30" i="3" s="1"/>
  <c r="E31" i="3"/>
  <c r="G31" i="3" s="1"/>
  <c r="H31" i="3" s="1"/>
  <c r="Q24" i="8"/>
  <c r="S24" i="8" s="1"/>
  <c r="L17" i="8"/>
  <c r="O15" i="8"/>
  <c r="O16" i="8" s="1"/>
  <c r="O17" i="8" s="1"/>
  <c r="O18" i="8" s="1"/>
  <c r="O19" i="8" s="1"/>
  <c r="O20" i="8" s="1"/>
  <c r="O21" i="8" s="1"/>
  <c r="P39" i="1"/>
  <c r="P51" i="1" s="1"/>
  <c r="L26" i="8"/>
  <c r="P25" i="8"/>
  <c r="O54" i="1" l="1"/>
  <c r="P53" i="1"/>
  <c r="Q53" i="1" s="1"/>
  <c r="O30" i="3"/>
  <c r="E32" i="3"/>
  <c r="G32" i="3" s="1"/>
  <c r="H32" i="3" s="1"/>
  <c r="J31" i="3"/>
  <c r="K31" i="3" s="1"/>
  <c r="N31" i="3" s="1"/>
  <c r="Q25" i="8"/>
  <c r="S25" i="8" s="1"/>
  <c r="Q39" i="1"/>
  <c r="Q40" i="1" s="1"/>
  <c r="P16" i="8"/>
  <c r="Q16" i="8" s="1"/>
  <c r="S16" i="8" s="1"/>
  <c r="P17" i="8"/>
  <c r="Q17" i="8" s="1"/>
  <c r="S17" i="8" s="1"/>
  <c r="L18" i="8"/>
  <c r="L27" i="8"/>
  <c r="P26" i="8"/>
  <c r="O55" i="1" l="1"/>
  <c r="P54" i="1"/>
  <c r="Q54" i="1" s="1"/>
  <c r="E33" i="3"/>
  <c r="O31" i="3"/>
  <c r="S52" i="1"/>
  <c r="J32" i="3"/>
  <c r="K32" i="3" s="1"/>
  <c r="N32" i="3" s="1"/>
  <c r="Q26" i="8"/>
  <c r="S26" i="8" s="1"/>
  <c r="L19" i="8"/>
  <c r="P18" i="8"/>
  <c r="Q18" i="8" s="1"/>
  <c r="S18" i="8" s="1"/>
  <c r="S39" i="1"/>
  <c r="S40" i="1" s="1"/>
  <c r="L28" i="8"/>
  <c r="P27" i="8"/>
  <c r="Q27" i="8" s="1"/>
  <c r="O56" i="1" l="1"/>
  <c r="O57" i="1" s="1"/>
  <c r="P55" i="1"/>
  <c r="Q55" i="1" s="1"/>
  <c r="O32" i="3"/>
  <c r="T52" i="1"/>
  <c r="S53" i="1"/>
  <c r="T53" i="1" s="1"/>
  <c r="V52" i="1"/>
  <c r="D43" i="3"/>
  <c r="T39" i="1"/>
  <c r="V39" i="1"/>
  <c r="P28" i="8"/>
  <c r="D33" i="3"/>
  <c r="L20" i="8"/>
  <c r="P19" i="8"/>
  <c r="Q19" i="8" s="1"/>
  <c r="S19" i="8" s="1"/>
  <c r="S27" i="8"/>
  <c r="P56" i="1" l="1"/>
  <c r="Q56" i="1" s="1"/>
  <c r="F33" i="3"/>
  <c r="D34" i="3"/>
  <c r="F43" i="3"/>
  <c r="S54" i="1"/>
  <c r="T54" i="1" s="1"/>
  <c r="D44" i="3"/>
  <c r="F44" i="3" s="1"/>
  <c r="V53" i="1"/>
  <c r="T40" i="1"/>
  <c r="Q28" i="8"/>
  <c r="L21" i="8"/>
  <c r="P21" i="8" s="1"/>
  <c r="Q21" i="8" s="1"/>
  <c r="S21" i="8" s="1"/>
  <c r="P20" i="8"/>
  <c r="Q20" i="8" s="1"/>
  <c r="S20" i="8" s="1"/>
  <c r="O70" i="1" l="1"/>
  <c r="P57" i="1"/>
  <c r="Q57" i="1" s="1"/>
  <c r="F34" i="3"/>
  <c r="G33" i="3"/>
  <c r="H33" i="3" s="1"/>
  <c r="I11" i="5"/>
  <c r="I12" i="5" s="1"/>
  <c r="H11" i="5"/>
  <c r="H12" i="5" s="1"/>
  <c r="S55" i="1"/>
  <c r="V55" i="1" s="1"/>
  <c r="V54" i="1"/>
  <c r="D45" i="3"/>
  <c r="F45" i="3" s="1"/>
  <c r="S28" i="8"/>
  <c r="S29" i="8" s="1"/>
  <c r="Q29" i="8"/>
  <c r="O71" i="1" l="1"/>
  <c r="P70" i="1"/>
  <c r="Q70" i="1" s="1"/>
  <c r="S70" i="1" s="1"/>
  <c r="Q58" i="1"/>
  <c r="E43" i="3"/>
  <c r="G43" i="3" s="1"/>
  <c r="H43" i="3" s="1"/>
  <c r="J11" i="5"/>
  <c r="J12" i="5" s="1"/>
  <c r="D46" i="3"/>
  <c r="F46" i="3" s="1"/>
  <c r="S56" i="1"/>
  <c r="T55" i="1"/>
  <c r="O72" i="1" l="1"/>
  <c r="P71" i="1"/>
  <c r="Q71" i="1" s="1"/>
  <c r="S71" i="1" s="1"/>
  <c r="E44" i="3"/>
  <c r="J43" i="3"/>
  <c r="K43" i="3" s="1"/>
  <c r="N43" i="3" s="1"/>
  <c r="S57" i="1"/>
  <c r="S58" i="1" s="1"/>
  <c r="K11" i="5"/>
  <c r="K12" i="5" s="1"/>
  <c r="D47" i="3"/>
  <c r="F47" i="3" s="1"/>
  <c r="V56" i="1"/>
  <c r="T56" i="1"/>
  <c r="J33" i="3"/>
  <c r="K33" i="3" s="1"/>
  <c r="N33" i="3" s="1"/>
  <c r="O73" i="1" l="1"/>
  <c r="P72" i="1"/>
  <c r="Q72" i="1" s="1"/>
  <c r="T57" i="1"/>
  <c r="N34" i="3"/>
  <c r="N42" i="3" s="1"/>
  <c r="O33" i="3"/>
  <c r="G44" i="3"/>
  <c r="H44" i="3" s="1"/>
  <c r="J44" i="3" s="1"/>
  <c r="K44" i="3" s="1"/>
  <c r="N44" i="3" s="1"/>
  <c r="H15" i="5"/>
  <c r="H16" i="5" s="1"/>
  <c r="D69" i="3"/>
  <c r="F69" i="3" s="1"/>
  <c r="L11" i="5"/>
  <c r="D48" i="3"/>
  <c r="V57" i="1"/>
  <c r="D70" i="3"/>
  <c r="F70" i="3" s="1"/>
  <c r="P11" i="5" s="1"/>
  <c r="P12" i="5" s="1"/>
  <c r="S72" i="1" l="1"/>
  <c r="O74" i="1"/>
  <c r="P73" i="1"/>
  <c r="Q73" i="1" s="1"/>
  <c r="S73" i="1" s="1"/>
  <c r="O43" i="3"/>
  <c r="O44" i="3" s="1"/>
  <c r="O11" i="5"/>
  <c r="O12" i="5" s="1"/>
  <c r="F48" i="3"/>
  <c r="D49" i="3"/>
  <c r="I15" i="5"/>
  <c r="I16" i="5" s="1"/>
  <c r="E45" i="3"/>
  <c r="M11" i="5"/>
  <c r="M12" i="5" s="1"/>
  <c r="F49" i="3"/>
  <c r="L12" i="5"/>
  <c r="D71" i="3"/>
  <c r="F71" i="3" s="1"/>
  <c r="Q11" i="5" s="1"/>
  <c r="Q12" i="5" s="1"/>
  <c r="O75" i="1" l="1"/>
  <c r="P74" i="1"/>
  <c r="Q74" i="1" s="1"/>
  <c r="S74" i="1" s="1"/>
  <c r="N11" i="5"/>
  <c r="G45" i="3"/>
  <c r="H45" i="3" s="1"/>
  <c r="J45" i="3" s="1"/>
  <c r="K45" i="3" s="1"/>
  <c r="N45" i="3" s="1"/>
  <c r="N12" i="5"/>
  <c r="O15" i="11" l="1"/>
  <c r="O16" i="11" s="1"/>
  <c r="P75" i="1"/>
  <c r="Q75" i="1" s="1"/>
  <c r="E46" i="3"/>
  <c r="G46" i="3" s="1"/>
  <c r="J15" i="5"/>
  <c r="J16" i="5" s="1"/>
  <c r="O45" i="3"/>
  <c r="D72" i="3"/>
  <c r="F72" i="3" s="1"/>
  <c r="R11" i="5" s="1"/>
  <c r="D73" i="3"/>
  <c r="F73" i="3" s="1"/>
  <c r="S11" i="5" s="1"/>
  <c r="S12" i="5" s="1"/>
  <c r="S75" i="1" l="1"/>
  <c r="S76" i="1" s="1"/>
  <c r="Q76" i="1"/>
  <c r="O17" i="11"/>
  <c r="P16" i="11"/>
  <c r="Q16" i="11" s="1"/>
  <c r="H46" i="3"/>
  <c r="J46" i="3" s="1"/>
  <c r="K46" i="3" s="1"/>
  <c r="N46" i="3" s="1"/>
  <c r="E47" i="3"/>
  <c r="G47" i="3" s="1"/>
  <c r="D74" i="3"/>
  <c r="F74" i="3" s="1"/>
  <c r="T11" i="5" s="1"/>
  <c r="T12" i="5" s="1"/>
  <c r="R12" i="5"/>
  <c r="S16" i="11" l="1"/>
  <c r="O18" i="11"/>
  <c r="P17" i="11"/>
  <c r="Q17" i="11" s="1"/>
  <c r="S17" i="11" s="1"/>
  <c r="U11" i="5"/>
  <c r="F75" i="3"/>
  <c r="U12" i="5"/>
  <c r="D75" i="3"/>
  <c r="H47" i="3"/>
  <c r="J47" i="3" s="1"/>
  <c r="K47" i="3" s="1"/>
  <c r="N47" i="3" s="1"/>
  <c r="E48" i="3"/>
  <c r="G48" i="3" s="1"/>
  <c r="K15" i="5"/>
  <c r="K16" i="5" s="1"/>
  <c r="O46" i="3"/>
  <c r="O19" i="11" l="1"/>
  <c r="P18" i="11"/>
  <c r="Q18" i="11" s="1"/>
  <c r="S18" i="11" s="1"/>
  <c r="H48" i="3"/>
  <c r="J48" i="3" s="1"/>
  <c r="K48" i="3" s="1"/>
  <c r="N48" i="3" s="1"/>
  <c r="N49" i="3" s="1"/>
  <c r="N68" i="3" s="1"/>
  <c r="O47" i="3"/>
  <c r="L15" i="5"/>
  <c r="L16" i="5" s="1"/>
  <c r="O20" i="11" l="1"/>
  <c r="P19" i="11"/>
  <c r="Q19" i="11" s="1"/>
  <c r="O48" i="3"/>
  <c r="M15" i="5"/>
  <c r="M16" i="5" s="1"/>
  <c r="J21" i="9"/>
  <c r="I21" i="9"/>
  <c r="S19" i="11" l="1"/>
  <c r="O21" i="11"/>
  <c r="P20" i="11"/>
  <c r="Q20" i="11" s="1"/>
  <c r="S20" i="11" s="1"/>
  <c r="E69" i="3"/>
  <c r="G69" i="3" s="1"/>
  <c r="N15" i="5"/>
  <c r="N16" i="5" s="1"/>
  <c r="S6" i="9"/>
  <c r="S8" i="9" s="1"/>
  <c r="R8" i="9"/>
  <c r="O22" i="11" l="1"/>
  <c r="P21" i="11"/>
  <c r="Q21" i="11" s="1"/>
  <c r="S21" i="11" s="1"/>
  <c r="H69" i="3"/>
  <c r="J69" i="3" s="1"/>
  <c r="K69" i="3" s="1"/>
  <c r="N69" i="3" s="1"/>
  <c r="O15" i="5" s="1"/>
  <c r="O16" i="5" s="1"/>
  <c r="E70" i="3"/>
  <c r="G70" i="3" s="1"/>
  <c r="O69" i="3" l="1"/>
  <c r="O23" i="11"/>
  <c r="P22" i="11"/>
  <c r="Q22" i="11" s="1"/>
  <c r="S22" i="11" s="1"/>
  <c r="H70" i="3"/>
  <c r="J70" i="3" s="1"/>
  <c r="K70" i="3" s="1"/>
  <c r="N70" i="3" s="1"/>
  <c r="E71" i="3"/>
  <c r="G71" i="3" s="1"/>
  <c r="O70" i="3" l="1"/>
  <c r="O24" i="11"/>
  <c r="P23" i="11"/>
  <c r="Q23" i="11" s="1"/>
  <c r="S23" i="11" s="1"/>
  <c r="H71" i="3"/>
  <c r="J71" i="3" s="1"/>
  <c r="K71" i="3" s="1"/>
  <c r="N71" i="3" s="1"/>
  <c r="E72" i="3"/>
  <c r="G72" i="3" s="1"/>
  <c r="H72" i="3" s="1"/>
  <c r="J72" i="3" s="1"/>
  <c r="K72" i="3" s="1"/>
  <c r="N72" i="3" s="1"/>
  <c r="P15" i="5"/>
  <c r="P16" i="5" s="1"/>
  <c r="E73" i="3" l="1"/>
  <c r="G73" i="3" s="1"/>
  <c r="H73" i="3" s="1"/>
  <c r="J73" i="3" s="1"/>
  <c r="K73" i="3" s="1"/>
  <c r="N73" i="3" s="1"/>
  <c r="R15" i="5"/>
  <c r="R16" i="5" s="1"/>
  <c r="O25" i="11"/>
  <c r="P24" i="11"/>
  <c r="Q24" i="11" s="1"/>
  <c r="S24" i="11" s="1"/>
  <c r="Q15" i="5"/>
  <c r="Q16" i="5" s="1"/>
  <c r="O71" i="3"/>
  <c r="O26" i="11" l="1"/>
  <c r="P25" i="11"/>
  <c r="Q25" i="11" s="1"/>
  <c r="S25" i="11" s="1"/>
  <c r="O72" i="3"/>
  <c r="S15" i="5"/>
  <c r="S16" i="5" s="1"/>
  <c r="E74" i="3"/>
  <c r="G74" i="3" s="1"/>
  <c r="H74" i="3" s="1"/>
  <c r="J74" i="3" s="1"/>
  <c r="K74" i="3" s="1"/>
  <c r="N74" i="3" s="1"/>
  <c r="N75" i="3" l="1"/>
  <c r="O73" i="3"/>
  <c r="O74" i="3" s="1"/>
  <c r="O27" i="11"/>
  <c r="P27" i="11" s="1"/>
  <c r="Q27" i="11" s="1"/>
  <c r="P26" i="11"/>
  <c r="Q26" i="11" s="1"/>
  <c r="S26" i="11" s="1"/>
  <c r="T15" i="5"/>
  <c r="T16" i="5" s="1"/>
  <c r="U16" i="5" s="1"/>
  <c r="U15" i="5" l="1"/>
  <c r="C18" i="4"/>
  <c r="Q28" i="11"/>
  <c r="S27" i="11"/>
  <c r="C15" i="4" l="1"/>
  <c r="C17" i="4" s="1"/>
  <c r="C19" i="4" s="1"/>
  <c r="C22" i="4" s="1"/>
  <c r="C24" i="4" s="1"/>
  <c r="S28" i="11"/>
  <c r="C40" i="4" l="1"/>
  <c r="C41" i="4" s="1"/>
  <c r="C43" i="4" s="1"/>
  <c r="F19" i="9"/>
  <c r="C34" i="4"/>
  <c r="C32" i="4"/>
  <c r="C36" i="4" s="1"/>
  <c r="F30" i="9" s="1"/>
  <c r="C26" i="4"/>
  <c r="B21" i="4" s="1"/>
  <c r="G30" i="9" l="1"/>
  <c r="G32" i="9" s="1"/>
  <c r="F60" i="9"/>
  <c r="F49" i="9"/>
  <c r="N49" i="9" s="1"/>
  <c r="N51" i="9" s="1"/>
  <c r="N19" i="9"/>
  <c r="N21" i="9" s="1"/>
  <c r="G49" i="9"/>
  <c r="G51" i="9" s="1"/>
  <c r="F51" i="9"/>
  <c r="J30" i="9"/>
  <c r="J32" i="9" s="1"/>
  <c r="E39" i="18"/>
  <c r="F32" i="9"/>
  <c r="C28" i="4"/>
  <c r="A8" i="4"/>
  <c r="F21" i="9"/>
  <c r="G19" i="9"/>
  <c r="G21" i="9" s="1"/>
  <c r="J60" i="9" l="1"/>
  <c r="J62" i="9" s="1"/>
  <c r="F62" i="9"/>
  <c r="G60" i="9"/>
  <c r="G62" i="9" s="1"/>
  <c r="H39" i="18"/>
  <c r="R47" i="19"/>
  <c r="J39" i="18"/>
  <c r="F39" i="18"/>
  <c r="E41" i="18"/>
  <c r="E14" i="19" s="1"/>
  <c r="H14" i="19" s="1"/>
  <c r="I14" i="19" s="1"/>
  <c r="K14" i="19" l="1"/>
  <c r="L13" i="19" s="1"/>
  <c r="I17" i="19"/>
  <c r="M39" i="18"/>
  <c r="S47" i="19"/>
  <c r="S49" i="19" s="1"/>
  <c r="R36" i="19"/>
  <c r="R49" i="19"/>
  <c r="R56" i="19" s="1"/>
  <c r="H41" i="18"/>
  <c r="H43" i="18" s="1"/>
  <c r="E17" i="19"/>
  <c r="H17" i="19" s="1"/>
  <c r="J41" i="18"/>
  <c r="K39" i="18"/>
  <c r="F41" i="18"/>
  <c r="M41" i="18" l="1"/>
  <c r="M43" i="18" s="1"/>
  <c r="N45" i="18" s="1"/>
  <c r="N39" i="18"/>
  <c r="N41" i="18" s="1"/>
  <c r="N43" i="18" s="1"/>
  <c r="F19" i="19"/>
  <c r="K17" i="19"/>
  <c r="L18" i="19" s="1"/>
  <c r="L15" i="19"/>
  <c r="L14" i="19" s="1"/>
  <c r="F14" i="19"/>
  <c r="S36" i="19"/>
  <c r="S38" i="19" s="1"/>
  <c r="R38" i="19"/>
  <c r="F43" i="18"/>
  <c r="K41" i="18"/>
  <c r="N46" i="18" l="1"/>
  <c r="L19" i="19"/>
  <c r="L21" i="19" s="1"/>
  <c r="F17" i="19"/>
  <c r="F20" i="19" s="1"/>
  <c r="H19" i="19"/>
  <c r="H19" i="18"/>
  <c r="H20" i="18" l="1"/>
  <c r="I19"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Kanner, Debra A</author>
  </authors>
  <commentList>
    <comment ref="A6" authorId="0" shapeId="0" xr:uid="{ED36B0EA-101F-4AA6-8993-4505F517153B}">
      <text>
        <r>
          <rPr>
            <b/>
            <sz val="9"/>
            <color indexed="81"/>
            <rFont val="Tahoma"/>
            <family val="2"/>
          </rPr>
          <t>Kanner, Debra A:</t>
        </r>
        <r>
          <rPr>
            <sz val="9"/>
            <color indexed="81"/>
            <rFont val="Tahoma"/>
            <family val="2"/>
          </rPr>
          <t xml:space="preserve">
Use UI Planner Report:  \State Filing Data Requests\JC Cycle kWh by Customer Class &amp; Rate Schedule - Vertical</t>
        </r>
      </text>
    </comment>
  </commentList>
</comments>
</file>

<file path=xl/sharedStrings.xml><?xml version="1.0" encoding="utf-8"?>
<sst xmlns="http://schemas.openxmlformats.org/spreadsheetml/2006/main" count="2752" uniqueCount="688">
  <si>
    <t>Attachment</t>
  </si>
  <si>
    <t>Status</t>
  </si>
  <si>
    <t>Notes</t>
  </si>
  <si>
    <t>Description of Attachment</t>
  </si>
  <si>
    <t>Attachment RRC-1</t>
  </si>
  <si>
    <t>Ö</t>
  </si>
  <si>
    <t>2 Pages not 1</t>
  </si>
  <si>
    <t>Summary of Rider RRC Rate and Revenue Calculation</t>
  </si>
  <si>
    <t>Attachment RRC-2</t>
  </si>
  <si>
    <t>Current RRC Tariff Sheets</t>
  </si>
  <si>
    <t>Attachment RRC-3</t>
  </si>
  <si>
    <t>Proposed RRC Tariff Sheets</t>
  </si>
  <si>
    <t>Attachment RRC-4</t>
  </si>
  <si>
    <t>Redline of Current RRC Tariff Sheets with Proposed Modifications</t>
  </si>
  <si>
    <t>Attachment RRC-5</t>
  </si>
  <si>
    <t>Draft</t>
  </si>
  <si>
    <t>Update Date?</t>
  </si>
  <si>
    <t>Form of Public Notice </t>
  </si>
  <si>
    <r>
      <t>Supporting SREC Component</t>
    </r>
    <r>
      <rPr>
        <sz val="12"/>
        <color theme="1"/>
        <rFont val="Times New Roman"/>
        <family val="1"/>
      </rPr>
      <t>:</t>
    </r>
  </si>
  <si>
    <t>Attachment SREC-1</t>
  </si>
  <si>
    <t>JCP&amp;L RGGI Recovery Charge - 2024 Rider RRC Filing Summary of Deferred Solar Renewable Energy Certificate (SREC) I &amp; II Financing Program Costs Based on Actual Results Through December 31, 2024, and the 18-Month Forecast Period from January 1, 2025, to June 30, 2026, Proposed Tariff Rate Effective July 1, 2025</t>
  </si>
  <si>
    <t>Attachment SREC-2</t>
  </si>
  <si>
    <t>JCP&amp;L SREC I &amp; II Financing Programs Monthly Calculations of (Over)/Under-Recovery, Interest &amp; Deferred General Ledger Account Balances for the Year January 1, 2024 - December 31, 2024</t>
  </si>
  <si>
    <t>Attachment SREC-3</t>
  </si>
  <si>
    <t>JCP&amp;L SREC I &amp; II Financing Programs Monthly Calculations of (Over)/Under-Recovery, Interest &amp; Deferred General Ledger Account Balances for the Year January 1, 2025 - December 31, 2025 (12-Month Forecast) and the 6 Months Ended June 30, 2026 (6-Month Forecast)</t>
  </si>
  <si>
    <r>
      <t>Supporting TREC Component</t>
    </r>
    <r>
      <rPr>
        <sz val="12"/>
        <color theme="1"/>
        <rFont val="Times New Roman"/>
        <family val="1"/>
      </rPr>
      <t>:</t>
    </r>
  </si>
  <si>
    <t>Attachment TREC-1</t>
  </si>
  <si>
    <t>JCP&amp;L RGGI Recovery Charge - 2024 Rider RRC Filing TREC Program Proposed Rate Calculation Based on Actual Results Through December 31, 2024, and the 18-Month Forecast Period from January 1, 2025, to June 30, 2026,Proposed Tariff Rate, Effective July 1, 2025</t>
  </si>
  <si>
    <t>Attachment TREC-2</t>
  </si>
  <si>
    <t>JCP&amp;L TREC Program Monthly Calculations of TREC Program (Over)/Under-Recovery &amp; Interest for the Year January 1, 2024 - December 31, 2024</t>
  </si>
  <si>
    <t>Attachment TREC-3</t>
  </si>
  <si>
    <t>JCP&amp;L TREC Program Monthly Calculations of TREC Program (Over)/Under-Recovery &amp; Interest for the Year Ended December 31, 2025 (12-Month Forecast) and the 6 Months Ended June 30, 2026 (6-Month Forecast)</t>
  </si>
  <si>
    <t>Attachment TREC-4</t>
  </si>
  <si>
    <t>Update Allocation %?</t>
  </si>
  <si>
    <t>Derivation of JCP&amp;L’s Proportionate Share of TREC and SuSI Program Costs</t>
  </si>
  <si>
    <t>Attachment TREC-5</t>
  </si>
  <si>
    <t>Change Footnote?</t>
  </si>
  <si>
    <t>TREC Revenue Requirements Forecast for the Period January 1, 2025 to June 30, 2026</t>
  </si>
  <si>
    <r>
      <t>Supporting SuSI Component</t>
    </r>
    <r>
      <rPr>
        <sz val="12"/>
        <color theme="1"/>
        <rFont val="Times New Roman"/>
        <family val="1"/>
      </rPr>
      <t>:</t>
    </r>
  </si>
  <si>
    <t>Attachment SuSI-1</t>
  </si>
  <si>
    <t>JCP&amp;L RGGI Recovery Charge - 2024 Rider RRC Filing SuSI Program Proposed Rate Calculation Based on Actual Results Through December 31, 2024, and the 18-Month Forecast Period from January 1, 2025, to June 30, 2026, Proposed Tariff Rate, Effective July 1, 2025</t>
  </si>
  <si>
    <t>Attachment SuSI-2</t>
  </si>
  <si>
    <t>JCP&amp;L SuSI Program Monthly Calculations of SuSI Program (Over)/Under-Recovery &amp; Interest for the Year January 1, 2024 - December 31, 2024</t>
  </si>
  <si>
    <t>Attachment SuSI-3</t>
  </si>
  <si>
    <t>JCP&amp;L SuSI Program Monthly Calculations of SuSI Program (Over)/Under-Recovery &amp; Interest for the Year Ended December 31, 2025 (12-Month Forecast) and the 6 Months Ended June 30, 2026 (6-Month Forecast)</t>
  </si>
  <si>
    <t>Attachment SuSI-4</t>
  </si>
  <si>
    <t>SuSI Revenue Requirements Forecast for the Period January 1, 2025, to June 30, 2026</t>
  </si>
  <si>
    <t>Supporting CSP Component</t>
  </si>
  <si>
    <t>Attachment CSP-1</t>
  </si>
  <si>
    <t>JCP&amp;L CSP Proposed Rate Calculation Based on Actual Results Through December 31, 2024, and the 18-Month Forecast Period from January 1, 2025, to June 30, 2026, Proposed Tariff Rate, Effective July 1, 2025</t>
  </si>
  <si>
    <t>Attachment CSP-2</t>
  </si>
  <si>
    <t xml:space="preserve">JCP&amp;L CSP Program Monthly Calculations of CSP Program (Over)/Under-Recovery &amp; Interest for the Year January 1, 2024 - December 31, 2024 </t>
  </si>
  <si>
    <t>Attachment CSP-3</t>
  </si>
  <si>
    <t>JCP&amp;L CSP Program Monthly Calculations of CSP Program (Over)/Under-Recovery &amp; Interest for the Year Ended December 31, 2025 (12-Month Forecast) and the 6 Months Ended June 30, 2026 (6-Month Forecast)</t>
  </si>
  <si>
    <r>
      <t>Supporting EE&amp;C Component</t>
    </r>
    <r>
      <rPr>
        <sz val="12"/>
        <color theme="1"/>
        <rFont val="Times New Roman"/>
        <family val="1"/>
      </rPr>
      <t>:</t>
    </r>
  </si>
  <si>
    <t>Attachment EE&amp;C-1, Pages 1 to 7</t>
  </si>
  <si>
    <t>Change to page 7 of 7 Only</t>
  </si>
  <si>
    <t>EE&amp;C Rate Calculations Excel File</t>
  </si>
  <si>
    <t>Attachment EE&amp;C-2</t>
  </si>
  <si>
    <t>No change in Amended Filing</t>
  </si>
  <si>
    <t>Schedule of Actual vs. Budgeted RRC Revenues by Month</t>
  </si>
  <si>
    <t>Attachment EE&amp;C-3</t>
  </si>
  <si>
    <t>EE&amp;C Plan Full Time Employee Direct Impact</t>
  </si>
  <si>
    <t>Attachment EE&amp;C-4</t>
  </si>
  <si>
    <t>EE&amp;C Plan Gas to Electric Conversions Summary</t>
  </si>
  <si>
    <t>Attachment EE&amp;C-5</t>
  </si>
  <si>
    <t>EE&amp;C Plan Overlapping Projects Summary</t>
  </si>
  <si>
    <t>Attachment EE&amp;C-6</t>
  </si>
  <si>
    <t>Update for Q4?</t>
  </si>
  <si>
    <t>EE&amp;C Plan Quarterly Reports Dated May 30, 2024, September 23, 2024, and November 27, 2024</t>
  </si>
  <si>
    <t>Attachment EE&amp;C-7</t>
  </si>
  <si>
    <t>Number of Participants for Each of the BPU Approved JCP&amp;L EE&amp;C Plan Programs</t>
  </si>
  <si>
    <t>Attachment EE&amp;C-8</t>
  </si>
  <si>
    <t>Appendix of Minimum Filing Requirements for EE&amp;C Rate Filing</t>
  </si>
  <si>
    <r>
      <t>Supporting EE&amp;C2 Component</t>
    </r>
    <r>
      <rPr>
        <sz val="12"/>
        <color theme="1"/>
        <rFont val="Times New Roman"/>
        <family val="1"/>
      </rPr>
      <t>:</t>
    </r>
  </si>
  <si>
    <t>Attachment EE&amp;C2-1, Pages 1 to 7</t>
  </si>
  <si>
    <t>EE&amp;C2 Rate Calculations Excel File</t>
  </si>
  <si>
    <t>Attachment EE&amp;C2-2</t>
  </si>
  <si>
    <t>Attachment EE&amp;C2-3</t>
  </si>
  <si>
    <t>N/A</t>
  </si>
  <si>
    <t>EE&amp;C2 Plan Full Time Employee Direct Impact</t>
  </si>
  <si>
    <t>Attachment EE&amp;C2-4</t>
  </si>
  <si>
    <t>EE&amp;C2 Plan Gas to Electric Conversions Summary</t>
  </si>
  <si>
    <t>Attachment EE&amp;C2-5</t>
  </si>
  <si>
    <t>EE&amp;C2 Plan Overlapping Projects Summary</t>
  </si>
  <si>
    <t>Attachment EE&amp;C2-6</t>
  </si>
  <si>
    <t>Update for Q1?</t>
  </si>
  <si>
    <t>EE&amp;C2 Plan Quarterly Reports</t>
  </si>
  <si>
    <t>Attachment EE&amp;C2-7</t>
  </si>
  <si>
    <t xml:space="preserve">Number of Participants for Each of the BPU Approved JCP&amp;L EE&amp;C2 Plan Programs </t>
  </si>
  <si>
    <t>Attachment EE&amp;C2-8</t>
  </si>
  <si>
    <t>Appendix of Minimum Filing Requirements for EE&amp;C2 Rate Filing</t>
  </si>
  <si>
    <r>
      <t>Supporting SREC II Administrative Fee</t>
    </r>
    <r>
      <rPr>
        <sz val="12"/>
        <color theme="1"/>
        <rFont val="Times New Roman"/>
        <family val="1"/>
      </rPr>
      <t>:</t>
    </r>
  </si>
  <si>
    <t>Attachment ADMIN-1</t>
  </si>
  <si>
    <t>JCP&amp;L SREC II Summary of Solicitation Rounds</t>
  </si>
  <si>
    <t>Attachment ADMIN-2</t>
  </si>
  <si>
    <t>JCP&amp;L Computation of the SREC II Financing Program Actual and Projected Administrative Cost Deferral and Interest for the Years Ended December 31, 2023 through 2027 and the SREC II (INDIRECT) Administrative Fee Computation for the Year 2026</t>
  </si>
  <si>
    <t>Attachment ADMIN-3</t>
  </si>
  <si>
    <t xml:space="preserve">JCP&amp;L SREC II Program Estimated SREC Purchases - Current and Projected Projects </t>
  </si>
  <si>
    <t>Attachment ADMIN-4</t>
  </si>
  <si>
    <t>JCP&amp;L SREC II Program Administrative Costs Incurred Compared to Administrative Fees Received Program to Date and Projected Years through the Year 2025</t>
  </si>
  <si>
    <t>RRC Component</t>
  </si>
  <si>
    <t>2024 Original Filing Proposed Revenues</t>
  </si>
  <si>
    <t>2024 Amended Filing Proposed Revenues</t>
  </si>
  <si>
    <t>2024 Amended Filing Change in Revenues</t>
  </si>
  <si>
    <t>SREC</t>
  </si>
  <si>
    <t>Page 1 of 2</t>
  </si>
  <si>
    <t>TREC</t>
  </si>
  <si>
    <t>SuSI*</t>
  </si>
  <si>
    <t>JERSEY CENTRAL POWER &amp; LIGHT COMPANY</t>
  </si>
  <si>
    <t>CSP</t>
  </si>
  <si>
    <t>2025 Rider RRC Filing</t>
  </si>
  <si>
    <t>EE&amp;C</t>
  </si>
  <si>
    <t>Rate and Revenue Calculations</t>
  </si>
  <si>
    <t>EE&amp;C2</t>
  </si>
  <si>
    <t>For All Components of Rider RRC</t>
  </si>
  <si>
    <t>Totals</t>
  </si>
  <si>
    <t>Proposed Rates Effective July 1, 2026</t>
  </si>
  <si>
    <t>Increase</t>
  </si>
  <si>
    <t>* Actual Data for calendar year 2024 is corrected in the Amended Filing.</t>
  </si>
  <si>
    <t>2024 Amended Rider RRC Filing</t>
  </si>
  <si>
    <t>CURRENT</t>
  </si>
  <si>
    <t>Current RRC Rate</t>
  </si>
  <si>
    <t>As Filed on 6/4/2025</t>
  </si>
  <si>
    <t>w/o SUT</t>
  </si>
  <si>
    <t>w/SUT</t>
  </si>
  <si>
    <t>SuSI</t>
  </si>
  <si>
    <t>Community Solar</t>
  </si>
  <si>
    <t>Total RRC Rate</t>
  </si>
  <si>
    <t>Current RRC</t>
  </si>
  <si>
    <t>Increase/ (Decrease)</t>
  </si>
  <si>
    <t>RRC Revenues As Filed</t>
  </si>
  <si>
    <t>2023 Rider RRC Amended Filing</t>
  </si>
  <si>
    <t>Page 2 of 2</t>
  </si>
  <si>
    <t>Rider RRC Revenue Calculations by Filing</t>
  </si>
  <si>
    <t>Breakdown of Proposed Increases by Rider RRC Filing from 2023 to 2025</t>
  </si>
  <si>
    <t>TABLE A</t>
  </si>
  <si>
    <t>2023 Rider RRC Amended Filing (Docket No. ER24020075)</t>
  </si>
  <si>
    <t>TABLE B</t>
  </si>
  <si>
    <t>2024 Rider RRC Amended Filing (Docket No. ER25020028)</t>
  </si>
  <si>
    <t>TABLE C</t>
  </si>
  <si>
    <t>2024 Rider RRC Amended Filing</t>
  </si>
  <si>
    <t>2025 Rider RRC Filing (Docket No. ________________ )</t>
  </si>
  <si>
    <t>Cumulative Requested Increase</t>
  </si>
  <si>
    <t>*</t>
  </si>
  <si>
    <t>Attachment EE&amp;C-1</t>
  </si>
  <si>
    <t>Page 1 of 7</t>
  </si>
  <si>
    <t>Energy Efficiency &amp; Conservation ("EE&amp;C") Program</t>
  </si>
  <si>
    <t>Actual EE&amp;C Revenues by Rate Class</t>
  </si>
  <si>
    <t>Total</t>
  </si>
  <si>
    <t>Residential</t>
  </si>
  <si>
    <t>Commercial</t>
  </si>
  <si>
    <t>Industrial</t>
  </si>
  <si>
    <t>Public Street</t>
  </si>
  <si>
    <t>Actual EE&amp;C</t>
  </si>
  <si>
    <t>Month</t>
  </si>
  <si>
    <t>Year</t>
  </si>
  <si>
    <t>Class</t>
  </si>
  <si>
    <t>Lights</t>
  </si>
  <si>
    <t>Revenues</t>
  </si>
  <si>
    <t>kWh Sales</t>
  </si>
  <si>
    <t>Check Figures</t>
  </si>
  <si>
    <t>Jan</t>
  </si>
  <si>
    <t>Feb</t>
  </si>
  <si>
    <t>Mar</t>
  </si>
  <si>
    <t>Apr</t>
  </si>
  <si>
    <t>May</t>
  </si>
  <si>
    <t>Jun</t>
  </si>
  <si>
    <t>Jul</t>
  </si>
  <si>
    <t>Aug</t>
  </si>
  <si>
    <t>Sep</t>
  </si>
  <si>
    <t>Oct</t>
  </si>
  <si>
    <t>Nov</t>
  </si>
  <si>
    <t>Dec</t>
  </si>
  <si>
    <t>Page 2 of 7</t>
  </si>
  <si>
    <t>Actual/Forecast Monthly Revenue Requirement (7/1/25 to 6/30/26)</t>
  </si>
  <si>
    <t>Actual Revenue Requirement</t>
  </si>
  <si>
    <t>JCP&amp;L EE&amp;C Investments</t>
  </si>
  <si>
    <t>Tax Adjustment for Deferred Income Tax</t>
  </si>
  <si>
    <t>Customer</t>
  </si>
  <si>
    <t>Cumulative</t>
  </si>
  <si>
    <t>Deferred</t>
  </si>
  <si>
    <t>Incentives/</t>
  </si>
  <si>
    <t>Third</t>
  </si>
  <si>
    <t>Third Party</t>
  </si>
  <si>
    <t>Accumulated</t>
  </si>
  <si>
    <t>Income</t>
  </si>
  <si>
    <t xml:space="preserve">Accumulated </t>
  </si>
  <si>
    <t>Outside</t>
  </si>
  <si>
    <t xml:space="preserve">Outside Service </t>
  </si>
  <si>
    <t>Party</t>
  </si>
  <si>
    <t>Financing</t>
  </si>
  <si>
    <t>Tax</t>
  </si>
  <si>
    <t xml:space="preserve">Deferred </t>
  </si>
  <si>
    <t>Operating &amp;</t>
  </si>
  <si>
    <t xml:space="preserve">Service </t>
  </si>
  <si>
    <t xml:space="preserve">Amortization </t>
  </si>
  <si>
    <t>Amortization</t>
  </si>
  <si>
    <t>Tax Rate =</t>
  </si>
  <si>
    <t>Net</t>
  </si>
  <si>
    <t>Return</t>
  </si>
  <si>
    <t>Maintenance</t>
  </si>
  <si>
    <t>Revenue</t>
  </si>
  <si>
    <t>Mo.</t>
  </si>
  <si>
    <t>Investment</t>
  </si>
  <si>
    <t>Expense</t>
  </si>
  <si>
    <t>Component*</t>
  </si>
  <si>
    <t>Requirement</t>
  </si>
  <si>
    <t>* The November 2024  Return Component includes a $66,364 prior period adjustment.</t>
  </si>
  <si>
    <t>Component</t>
  </si>
  <si>
    <t>Agrees to deferral model</t>
  </si>
  <si>
    <t>Forecast Revenue Requirement</t>
  </si>
  <si>
    <t>Third Party Financing Amortization Schedule</t>
  </si>
  <si>
    <t>Forecast</t>
  </si>
  <si>
    <t>Actual</t>
  </si>
  <si>
    <t>Page 3 of 7</t>
  </si>
  <si>
    <t>Reconciliation of Revenues and Revenue Requirements Based on Actual/Forecast Data</t>
  </si>
  <si>
    <t>Reconciliation of Revenues and Revenue Requirements Based on Actual Data</t>
  </si>
  <si>
    <t xml:space="preserve">Beginning </t>
  </si>
  <si>
    <t>Current</t>
  </si>
  <si>
    <t>Ending</t>
  </si>
  <si>
    <t>Annual</t>
  </si>
  <si>
    <t>Monthly</t>
  </si>
  <si>
    <t>Period</t>
  </si>
  <si>
    <t xml:space="preserve">Average </t>
  </si>
  <si>
    <t xml:space="preserve">Total </t>
  </si>
  <si>
    <t>Interest</t>
  </si>
  <si>
    <t xml:space="preserve">Actual </t>
  </si>
  <si>
    <t>Deferral</t>
  </si>
  <si>
    <t>Over/(Under)</t>
  </si>
  <si>
    <t>Beginning</t>
  </si>
  <si>
    <t>Average Bal.</t>
  </si>
  <si>
    <t>Rate*</t>
  </si>
  <si>
    <t>Rate *</t>
  </si>
  <si>
    <t>(Income)/</t>
  </si>
  <si>
    <t>Balance</t>
  </si>
  <si>
    <t>Collection</t>
  </si>
  <si>
    <t>Ending Balance</t>
  </si>
  <si>
    <t>Rate</t>
  </si>
  <si>
    <t>Net of Tax</t>
  </si>
  <si>
    <t>(AIR)</t>
  </si>
  <si>
    <r>
      <t xml:space="preserve">AIR </t>
    </r>
    <r>
      <rPr>
        <b/>
        <sz val="12"/>
        <color theme="1"/>
        <rFont val="Calibri"/>
        <family val="2"/>
      </rPr>
      <t>÷ 12</t>
    </r>
  </si>
  <si>
    <r>
      <t>Expense</t>
    </r>
    <r>
      <rPr>
        <b/>
        <vertAlign val="superscript"/>
        <sz val="12"/>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</si>
  <si>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November 2024 Interest Computation  includes a $1,273 prior period adjustment.</t>
    </r>
  </si>
  <si>
    <t xml:space="preserve">Deferral </t>
  </si>
  <si>
    <t>Rate**</t>
  </si>
  <si>
    <t>Rate **</t>
  </si>
  <si>
    <t>Reconciliation of Revenues and Revenue Requirements Based on Forecast Data</t>
  </si>
  <si>
    <t>Forecasted</t>
  </si>
  <si>
    <t>EE&amp;C Rate</t>
  </si>
  <si>
    <t>per kWh</t>
  </si>
  <si>
    <t>Check</t>
  </si>
  <si>
    <t>* Two year Treasury plus 60 basis points.</t>
  </si>
  <si>
    <t xml:space="preserve">** Forecast annual interest rate based on rate at 12/1/2025 + 60 basis points as computed below. </t>
  </si>
  <si>
    <t>Market Yield on U.S. Treasury Securities at 2-Year Constant Maturity =</t>
  </si>
  <si>
    <t>Add: 60 Basis Points =</t>
  </si>
  <si>
    <t>Forecast EE&amp;C Annual Interest Rate =</t>
  </si>
  <si>
    <t>Additional Information on Interest and the Interest Computation.</t>
  </si>
  <si>
    <t>The RRC costs shall accrue interest on any over or under recovered balances of such costs at the interest</t>
  </si>
  <si>
    <t>rate based on a two-year constant maturity Treasuries as published in the Federal Reserve Statistical</t>
  </si>
  <si>
    <t>Release on the first day of each month (or the closest day thereafter on which rates are published), plus</t>
  </si>
  <si>
    <t>sixty basis points, but shall not exceed the Company’s overall rate of return as approved by the BPU. Such</t>
  </si>
  <si>
    <t>interest rate shall be reset each month. The interest calculation shall be based on the net of tax beginning</t>
  </si>
  <si>
    <t>and end average monthly balance, consistent with the methodology in the Board’s Final Order dated</t>
  </si>
  <si>
    <t>May 17, 2004 (Docket No. ER02080506 et al.), compounded annually (added to the balance on which interest</t>
  </si>
  <si>
    <t>is accrued annually) on January 1 of each year.</t>
  </si>
  <si>
    <t>Round to</t>
  </si>
  <si>
    <t>Page 4 of 7</t>
  </si>
  <si>
    <t>Energy Efficiency &amp; Conservation ("EE&amp;C") Program Trienium 1 Program Including Extension Period</t>
  </si>
  <si>
    <t xml:space="preserve">Projected Revenue Requirement </t>
  </si>
  <si>
    <t>For the 12 Month EE&amp;C Program Year July 1, 2026 to June 30, 2027</t>
  </si>
  <si>
    <t>Page 5 of 7</t>
  </si>
  <si>
    <t xml:space="preserve">Energy Efficiency &amp; ConservationProgram ("EE&amp;C") </t>
  </si>
  <si>
    <t>EE&amp;C Component of the RRC Rider Charge</t>
  </si>
  <si>
    <t>For the Period July 1, 2026 to June 30, 2027</t>
  </si>
  <si>
    <t>Effective July 1, 2026</t>
  </si>
  <si>
    <t>Line</t>
  </si>
  <si>
    <t>Program</t>
  </si>
  <si>
    <t>#</t>
  </si>
  <si>
    <t>EE&amp;C Net Revenue Requirement Calculation</t>
  </si>
  <si>
    <t>7/1/26-6/30/27</t>
  </si>
  <si>
    <t>Amortization Expense</t>
  </si>
  <si>
    <t>Rate of Return</t>
  </si>
  <si>
    <t>O &amp; M Expenses</t>
  </si>
  <si>
    <t>Total Projected Revenue Requirement - 7/1/26 - 6/30/27</t>
  </si>
  <si>
    <t>Actual Reconciliation (Over)/Under Collection 7/1/25 to 12/31/25, Forecasted Reconciliation 1/1/26 to 6/30/26</t>
  </si>
  <si>
    <t>Total Net Revenue Requirement - 7/1/26 - 6/30/27</t>
  </si>
  <si>
    <t>Forecast MWh Sales for the 12 Months Ended June 30, 2027</t>
  </si>
  <si>
    <t>Proposed Tariff Rider EE&amp;C ($ per kWh) before SUT (L7 ÷ L8), Effective July 1, 2026</t>
  </si>
  <si>
    <t>Current Rider EE&amp;C ($ per kWh) before SUT</t>
  </si>
  <si>
    <t>Proposed Increase in Rider EE&amp;C ($ per kWh) before SUT (L9-L10), Effective July 1, 2026</t>
  </si>
  <si>
    <t xml:space="preserve">Proposed Rider EE&amp;C Revenue Increase  (L8 x L11 x 1,000) </t>
  </si>
  <si>
    <t>Proposed rate without SUT ($/kWh) (Line 9)</t>
  </si>
  <si>
    <t>Proposed rate with SUT ($/kWh) (Line 9 x 1.06625)</t>
  </si>
  <si>
    <t>Total Rider EE&amp;C Revenue Requirement (L8 x L13 x 1,000)</t>
  </si>
  <si>
    <t>Current Rates</t>
  </si>
  <si>
    <t>New Rates</t>
  </si>
  <si>
    <t>2024 Amended Filing Increase</t>
  </si>
  <si>
    <t>Incremental Increase</t>
  </si>
  <si>
    <t>Page 6 of 7</t>
  </si>
  <si>
    <t>Journal Entries</t>
  </si>
  <si>
    <t>YTD</t>
  </si>
  <si>
    <t>March</t>
  </si>
  <si>
    <t>April</t>
  </si>
  <si>
    <t>June</t>
  </si>
  <si>
    <t>To Record the Monthly Deferral</t>
  </si>
  <si>
    <t>182562 - Other Regulatory Asset - EE&amp;C Deferral</t>
  </si>
  <si>
    <r>
      <rPr>
        <b/>
        <sz val="10"/>
        <color theme="1"/>
        <rFont val="Arial"/>
        <family val="2"/>
      </rPr>
      <t xml:space="preserve">407850 </t>
    </r>
    <r>
      <rPr>
        <sz val="10"/>
        <color theme="1"/>
        <rFont val="Arial"/>
        <family val="2"/>
      </rPr>
      <t>- Regulatory Debits (CC 461019)</t>
    </r>
  </si>
  <si>
    <t>To Record the Monthly Interest on Over/(Under) Recovery</t>
  </si>
  <si>
    <r>
      <rPr>
        <b/>
        <sz val="10"/>
        <color theme="1"/>
        <rFont val="Arial"/>
        <family val="2"/>
      </rPr>
      <t>182562</t>
    </r>
    <r>
      <rPr>
        <sz val="10"/>
        <color theme="1"/>
        <rFont val="Arial"/>
        <family val="2"/>
      </rPr>
      <t xml:space="preserve"> - Other Regulatory Asset </t>
    </r>
  </si>
  <si>
    <r>
      <rPr>
        <b/>
        <sz val="10"/>
        <color theme="1"/>
        <rFont val="Arial"/>
        <family val="2"/>
      </rPr>
      <t>419003</t>
    </r>
    <r>
      <rPr>
        <sz val="10"/>
        <color theme="1"/>
        <rFont val="Arial"/>
        <family val="2"/>
      </rPr>
      <t xml:space="preserve"> - Interest Income (CC 461019)</t>
    </r>
  </si>
  <si>
    <r>
      <rPr>
        <b/>
        <sz val="10"/>
        <color theme="1"/>
        <rFont val="Arial"/>
        <family val="2"/>
      </rPr>
      <t>431125</t>
    </r>
    <r>
      <rPr>
        <sz val="10"/>
        <color theme="1"/>
        <rFont val="Arial"/>
        <family val="2"/>
      </rPr>
      <t xml:space="preserve"> - Interest Expense (CC 461019)</t>
    </r>
  </si>
  <si>
    <t>To Record the Monthly Investment (10 Year, Program Investment)</t>
  </si>
  <si>
    <t>182135 - Other Regulatory Asset - EE&amp;C Investment</t>
  </si>
  <si>
    <r>
      <rPr>
        <b/>
        <sz val="10"/>
        <color theme="1"/>
        <rFont val="Arial"/>
        <family val="2"/>
      </rPr>
      <t>407135</t>
    </r>
    <r>
      <rPr>
        <sz val="10"/>
        <color theme="1"/>
        <rFont val="Arial"/>
        <family val="2"/>
      </rPr>
      <t xml:space="preserve"> - Investment - Regulatory Asset (CC 461019)</t>
    </r>
  </si>
  <si>
    <t>To Record the Monthly Investment (1 Year, 3rd Party Financing)</t>
  </si>
  <si>
    <t>To Record the Monthly Amortization (10 Year, Program Investment)</t>
  </si>
  <si>
    <t>182135 - Other Regulatory Asset - EE&amp;C Investment Amortization</t>
  </si>
  <si>
    <r>
      <rPr>
        <b/>
        <sz val="10"/>
        <color theme="1"/>
        <rFont val="Arial"/>
        <family val="2"/>
      </rPr>
      <t>407135</t>
    </r>
    <r>
      <rPr>
        <sz val="10"/>
        <color theme="1"/>
        <rFont val="Arial"/>
        <family val="2"/>
      </rPr>
      <t xml:space="preserve"> - Amortization - Regulatory Asset (CC 461019)</t>
    </r>
  </si>
  <si>
    <t>To Record the Monthly Amortization (1 Year, 3rd Party Financing)</t>
  </si>
  <si>
    <t xml:space="preserve"> </t>
  </si>
  <si>
    <t>Planning Entity</t>
  </si>
  <si>
    <t>Time Periods of: JC Cycle kWh by Customer Class &amp; Rate Schedule - Vertical</t>
  </si>
  <si>
    <t>Total kWh</t>
  </si>
  <si>
    <t>kWh Sales 7/2025 to 6/2026</t>
  </si>
  <si>
    <t>SREC Revenues</t>
  </si>
  <si>
    <t>TREC Revenues</t>
  </si>
  <si>
    <t>SuSI Revenues</t>
  </si>
  <si>
    <t>CSP  Revenues</t>
  </si>
  <si>
    <t>Subtotal</t>
  </si>
  <si>
    <t>EEC Revenues</t>
  </si>
  <si>
    <t>EEC2 Revenues</t>
  </si>
  <si>
    <t>Total RRC</t>
  </si>
  <si>
    <t>7/1/2025-6/30/2026</t>
  </si>
  <si>
    <t>Mo</t>
  </si>
  <si>
    <t>JC01</t>
  </si>
  <si>
    <t>Jan - 2025</t>
  </si>
  <si>
    <t>Feb - 2025</t>
  </si>
  <si>
    <t>Mar - 2025</t>
  </si>
  <si>
    <t>Apr - 2025</t>
  </si>
  <si>
    <t>May - 2025</t>
  </si>
  <si>
    <t>Jun - 2025</t>
  </si>
  <si>
    <t>Jul - 2025</t>
  </si>
  <si>
    <t>July</t>
  </si>
  <si>
    <t>Aug - 2025</t>
  </si>
  <si>
    <t>Sep - 2025</t>
  </si>
  <si>
    <t>Sept</t>
  </si>
  <si>
    <t>Oct - 2025</t>
  </si>
  <si>
    <t>Nov - 2025</t>
  </si>
  <si>
    <t>Dec - 2025</t>
  </si>
  <si>
    <t>Jan - 2026</t>
  </si>
  <si>
    <t>Feb - 2026</t>
  </si>
  <si>
    <t>Mar - 2026</t>
  </si>
  <si>
    <t>Apr - 2026</t>
  </si>
  <si>
    <t>May - 2026</t>
  </si>
  <si>
    <t>Jun - 2026</t>
  </si>
  <si>
    <t>Jul - 2026</t>
  </si>
  <si>
    <t>Aug - 2026</t>
  </si>
  <si>
    <t>Sep - 2026</t>
  </si>
  <si>
    <t>Oct - 2026</t>
  </si>
  <si>
    <t>Nov - 2026</t>
  </si>
  <si>
    <t>Dec - 2026</t>
  </si>
  <si>
    <t>Jan - 2027</t>
  </si>
  <si>
    <t>Feb - 2027</t>
  </si>
  <si>
    <t>Mar - 2027</t>
  </si>
  <si>
    <t>Apr - 2027</t>
  </si>
  <si>
    <t>May - 2027</t>
  </si>
  <si>
    <t>Jun - 2027</t>
  </si>
  <si>
    <t>Jul - 2027</t>
  </si>
  <si>
    <t>TOTALS</t>
  </si>
  <si>
    <t>Aug - 2027</t>
  </si>
  <si>
    <t>Sep - 2027</t>
  </si>
  <si>
    <t>Oct - 2027</t>
  </si>
  <si>
    <t>Nov - 2027</t>
  </si>
  <si>
    <t>Dec - 2027</t>
  </si>
  <si>
    <t>Jan - 2028</t>
  </si>
  <si>
    <t>Feb - 2028</t>
  </si>
  <si>
    <t>Mar - 2028</t>
  </si>
  <si>
    <t>EEC2</t>
  </si>
  <si>
    <t>Apr - 2028</t>
  </si>
  <si>
    <t>May - 2028</t>
  </si>
  <si>
    <t>Jun - 2028</t>
  </si>
  <si>
    <t>Jul - 2028</t>
  </si>
  <si>
    <t>Aug - 2028</t>
  </si>
  <si>
    <t>Sep - 2028</t>
  </si>
  <si>
    <t>Oct - 2028</t>
  </si>
  <si>
    <t>Nov - 2028</t>
  </si>
  <si>
    <t>Dec - 2028</t>
  </si>
  <si>
    <t>Jan - 2029</t>
  </si>
  <si>
    <t>Feb - 2029</t>
  </si>
  <si>
    <t>Mar - 2029</t>
  </si>
  <si>
    <t>Apr - 2029</t>
  </si>
  <si>
    <t>May - 2029</t>
  </si>
  <si>
    <t>Jun - 2029</t>
  </si>
  <si>
    <t>Jul - 2029</t>
  </si>
  <si>
    <t>Aug - 2029</t>
  </si>
  <si>
    <t>Sep - 2029</t>
  </si>
  <si>
    <t>Oct - 2029</t>
  </si>
  <si>
    <t>Nov - 2029</t>
  </si>
  <si>
    <t>Dec - 2029</t>
  </si>
  <si>
    <t>Jan - 2030</t>
  </si>
  <si>
    <t>Feb - 2030</t>
  </si>
  <si>
    <t>Mar - 2030</t>
  </si>
  <si>
    <t>Apr - 2030</t>
  </si>
  <si>
    <t>May - 2030</t>
  </si>
  <si>
    <t>Jun - 2030</t>
  </si>
  <si>
    <t>Jul - 2030</t>
  </si>
  <si>
    <t>Aug - 2030</t>
  </si>
  <si>
    <t>Sep - 2030</t>
  </si>
  <si>
    <t>Oct - 2030</t>
  </si>
  <si>
    <t>Nov - 2030</t>
  </si>
  <si>
    <t>Dec - 2030</t>
  </si>
  <si>
    <t>Jan - 2031</t>
  </si>
  <si>
    <t>Feb - 2031</t>
  </si>
  <si>
    <t>Mar - 2031</t>
  </si>
  <si>
    <t>Apr - 2031</t>
  </si>
  <si>
    <t>May - 2031</t>
  </si>
  <si>
    <t>Jun - 2031</t>
  </si>
  <si>
    <t>Jul - 2031</t>
  </si>
  <si>
    <t>Aug - 2031</t>
  </si>
  <si>
    <t>Sep - 2031</t>
  </si>
  <si>
    <t>Oct - 2031</t>
  </si>
  <si>
    <t>Nov - 2031</t>
  </si>
  <si>
    <t>Dec - 2031</t>
  </si>
  <si>
    <t>Jan - 2032</t>
  </si>
  <si>
    <t>Feb - 2032</t>
  </si>
  <si>
    <t>Mar - 2032</t>
  </si>
  <si>
    <t>Apr - 2032</t>
  </si>
  <si>
    <t>May - 2032</t>
  </si>
  <si>
    <t>Jun - 2032</t>
  </si>
  <si>
    <t>Jul - 2032</t>
  </si>
  <si>
    <t>Aug - 2032</t>
  </si>
  <si>
    <t>Sep - 2032</t>
  </si>
  <si>
    <t>Oct - 2032</t>
  </si>
  <si>
    <t>Nov - 2032</t>
  </si>
  <si>
    <t>Dec - 2032</t>
  </si>
  <si>
    <t>Jan - 2033</t>
  </si>
  <si>
    <t>Feb - 2033</t>
  </si>
  <si>
    <t>Mar - 2033</t>
  </si>
  <si>
    <t>Apr - 2033</t>
  </si>
  <si>
    <t>May - 2033</t>
  </si>
  <si>
    <t>Jun - 2033</t>
  </si>
  <si>
    <t>Jul - 2033</t>
  </si>
  <si>
    <t>Aug - 2033</t>
  </si>
  <si>
    <t>Sep - 2033</t>
  </si>
  <si>
    <t>Oct - 2033</t>
  </si>
  <si>
    <t>Nov - 2033</t>
  </si>
  <si>
    <t>Dec - 2033</t>
  </si>
  <si>
    <t>Jan - 2034</t>
  </si>
  <si>
    <t>Feb - 2034</t>
  </si>
  <si>
    <t>Mar - 2034</t>
  </si>
  <si>
    <t>Apr - 2034</t>
  </si>
  <si>
    <t>May - 2034</t>
  </si>
  <si>
    <t>Jun - 2034</t>
  </si>
  <si>
    <t>Jul - 2034</t>
  </si>
  <si>
    <t>Aug - 2034</t>
  </si>
  <si>
    <t>Sep - 2034</t>
  </si>
  <si>
    <t>Oct - 2034</t>
  </si>
  <si>
    <t>Nov - 2034</t>
  </si>
  <si>
    <t>Dec - 2034</t>
  </si>
  <si>
    <t>Jan - 2035</t>
  </si>
  <si>
    <t>Feb - 2035</t>
  </si>
  <si>
    <t>Mar - 2035</t>
  </si>
  <si>
    <t>Apr - 2035</t>
  </si>
  <si>
    <t>May - 2035</t>
  </si>
  <si>
    <t>Jun - 2035</t>
  </si>
  <si>
    <t>Jul - 2035</t>
  </si>
  <si>
    <t>Aug - 2035</t>
  </si>
  <si>
    <t>Sep - 2035</t>
  </si>
  <si>
    <t>Oct - 2035</t>
  </si>
  <si>
    <t>Nov - 2035</t>
  </si>
  <si>
    <t>Dec - 2035</t>
  </si>
  <si>
    <t>ATTACHMENT B</t>
  </si>
  <si>
    <t>Jersey Central Power &amp; Light</t>
  </si>
  <si>
    <t>Schedule CAP-1</t>
  </si>
  <si>
    <t xml:space="preserve">Clean Energy Energy Efficiency Program </t>
  </si>
  <si>
    <t>Weighted Average Cost of Capital (WACC)</t>
  </si>
  <si>
    <t>Pre-Tax</t>
  </si>
  <si>
    <t>Weighted</t>
  </si>
  <si>
    <t xml:space="preserve">Weighted </t>
  </si>
  <si>
    <t>Discount</t>
  </si>
  <si>
    <t>Percent</t>
  </si>
  <si>
    <t>Cost</t>
  </si>
  <si>
    <t>Multiplier</t>
  </si>
  <si>
    <t>Long Term Debt</t>
  </si>
  <si>
    <t>Common Equity</t>
  </si>
  <si>
    <t>Monthly WACC</t>
  </si>
  <si>
    <t>Federal and State Income Tax rate</t>
  </si>
  <si>
    <t>Click on "+"</t>
  </si>
  <si>
    <t>INPUT AREA</t>
  </si>
  <si>
    <t>Sign Above</t>
  </si>
  <si>
    <t>Current Month</t>
  </si>
  <si>
    <t>CODE #</t>
  </si>
  <si>
    <t>to Open</t>
  </si>
  <si>
    <t>Current Year</t>
  </si>
  <si>
    <t>INPUT</t>
  </si>
  <si>
    <t>Amortization Period</t>
  </si>
  <si>
    <t>Years</t>
  </si>
  <si>
    <t>AREA</t>
  </si>
  <si>
    <t>Amortization Perod</t>
  </si>
  <si>
    <t>Months</t>
  </si>
  <si>
    <t>Input Investment by Month Below</t>
  </si>
  <si>
    <t>Per Automated Deferral Model</t>
  </si>
  <si>
    <t>Calendar Days Look Up Table</t>
  </si>
  <si>
    <t>Amort. End Date</t>
  </si>
  <si>
    <t>YR 2025</t>
  </si>
  <si>
    <t>YR 2026</t>
  </si>
  <si>
    <t>YR 2027</t>
  </si>
  <si>
    <t>YR 2028</t>
  </si>
  <si>
    <t>YR 2029</t>
  </si>
  <si>
    <t>YR 2030</t>
  </si>
  <si>
    <t>YR 2031</t>
  </si>
  <si>
    <t>YR 2032</t>
  </si>
  <si>
    <t>YR 2033</t>
  </si>
  <si>
    <t>YR 2034</t>
  </si>
  <si>
    <t>YR 2035</t>
  </si>
  <si>
    <t>Date</t>
  </si>
  <si>
    <t>Investment by Month
(10-yr Recovery)</t>
  </si>
  <si>
    <t>Mo#</t>
  </si>
  <si>
    <t xml:space="preserve"> Month</t>
  </si>
  <si>
    <t>Days</t>
  </si>
  <si>
    <t>Code #</t>
  </si>
  <si>
    <t>Monthly Amortization</t>
  </si>
  <si>
    <t>December</t>
  </si>
  <si>
    <t>January</t>
  </si>
  <si>
    <t>February</t>
  </si>
  <si>
    <t>August</t>
  </si>
  <si>
    <t>September</t>
  </si>
  <si>
    <t>October</t>
  </si>
  <si>
    <t>November</t>
  </si>
  <si>
    <t>Cell Formula Trail</t>
  </si>
  <si>
    <t>pre-2021</t>
  </si>
  <si>
    <t>2022-2030</t>
  </si>
  <si>
    <t>2032 and beyond</t>
  </si>
  <si>
    <t>2021-2022</t>
  </si>
  <si>
    <t>2021-2023</t>
  </si>
  <si>
    <t>2021-2024</t>
  </si>
  <si>
    <t>2021 -2025</t>
  </si>
  <si>
    <t>10-Yr</t>
  </si>
  <si>
    <t>1-Yr</t>
  </si>
  <si>
    <t>TOTS</t>
  </si>
  <si>
    <t>Investment by Month
(1-yr Recovery)</t>
  </si>
  <si>
    <t>Energy Efficiency &amp; Conservation ("EEC") Program</t>
  </si>
  <si>
    <t>Projected Revenue Requirement (1/1/24 to 6/30/24)</t>
  </si>
  <si>
    <t>JCP&amp;L EEC Investments</t>
  </si>
  <si>
    <t>kWh Forecast</t>
  </si>
  <si>
    <t>Default - Forecast Periods</t>
  </si>
  <si>
    <t>RES</t>
  </si>
  <si>
    <t>COM</t>
  </si>
  <si>
    <t>IND</t>
  </si>
  <si>
    <t>PSHL</t>
  </si>
  <si>
    <t>RS</t>
  </si>
  <si>
    <t>RSH</t>
  </si>
  <si>
    <t>RGT</t>
  </si>
  <si>
    <t>RT</t>
  </si>
  <si>
    <t>RTH</t>
  </si>
  <si>
    <t>OL</t>
  </si>
  <si>
    <t>GS</t>
  </si>
  <si>
    <t>GP</t>
  </si>
  <si>
    <t>GST</t>
  </si>
  <si>
    <t>GST_FRAN</t>
  </si>
  <si>
    <t>GS_FRAN</t>
  </si>
  <si>
    <t>GP_FRAN</t>
  </si>
  <si>
    <t>GT</t>
  </si>
  <si>
    <t>GT_230</t>
  </si>
  <si>
    <t>GT_DOD</t>
  </si>
  <si>
    <t>GT_FRAN</t>
  </si>
  <si>
    <t>GT_PROV_D</t>
  </si>
  <si>
    <t>STLT</t>
  </si>
  <si>
    <t>Apr - 2023</t>
  </si>
  <si>
    <t>May - 2023</t>
  </si>
  <si>
    <t>Jun - 2023</t>
  </si>
  <si>
    <t>Jul - 2023</t>
  </si>
  <si>
    <t>Aug - 2023</t>
  </si>
  <si>
    <t>Sep - 2023</t>
  </si>
  <si>
    <t>Oct - 2023</t>
  </si>
  <si>
    <t>Nov - 2023</t>
  </si>
  <si>
    <t>Dec - 2023</t>
  </si>
  <si>
    <t>Jan - 2024</t>
  </si>
  <si>
    <t>Feb - 2024</t>
  </si>
  <si>
    <t>Mar - 2024</t>
  </si>
  <si>
    <t>Apr - 2024</t>
  </si>
  <si>
    <t>May - 2024</t>
  </si>
  <si>
    <t>Jun - 2024</t>
  </si>
  <si>
    <t>Jul - 2024</t>
  </si>
  <si>
    <t>Aug - 2024</t>
  </si>
  <si>
    <t>Sep - 2024</t>
  </si>
  <si>
    <t>Oct - 2024</t>
  </si>
  <si>
    <t>Nov - 2024</t>
  </si>
  <si>
    <t>Dec - 2024</t>
  </si>
  <si>
    <t xml:space="preserve">Electric Revenue Requirements Calculation </t>
  </si>
  <si>
    <t>Schedule CAP-3</t>
  </si>
  <si>
    <t>Program Investment Amortization</t>
  </si>
  <si>
    <t>Monthly WACC Effective 7/1/21</t>
  </si>
  <si>
    <t>Federal &amp; State Income tax rate</t>
  </si>
  <si>
    <t>Incentives/Outside</t>
  </si>
  <si>
    <t>Book</t>
  </si>
  <si>
    <t xml:space="preserve">Investment </t>
  </si>
  <si>
    <t xml:space="preserve">Monthly </t>
  </si>
  <si>
    <t>Incentives</t>
  </si>
  <si>
    <t>Services</t>
  </si>
  <si>
    <t>O &amp; M</t>
  </si>
  <si>
    <t>Investments</t>
  </si>
  <si>
    <t xml:space="preserve">Investments </t>
  </si>
  <si>
    <t>Tax Basis</t>
  </si>
  <si>
    <t>Income Tax</t>
  </si>
  <si>
    <t>Base</t>
  </si>
  <si>
    <t>Expenses</t>
  </si>
  <si>
    <t>Requirements</t>
  </si>
  <si>
    <t>FERC (182)</t>
  </si>
  <si>
    <t>FERC (407)</t>
  </si>
  <si>
    <t>(1) + (2) +(4) - (8)</t>
  </si>
  <si>
    <t>(3) + (4)</t>
  </si>
  <si>
    <t>(4) + (6) +(7)</t>
  </si>
  <si>
    <t>FERC (283)</t>
  </si>
  <si>
    <t>(12) + (13)</t>
  </si>
  <si>
    <t>(12) + (14)</t>
  </si>
  <si>
    <t>(9) - (14)</t>
  </si>
  <si>
    <t>(15) x WACC</t>
  </si>
  <si>
    <t>FERC (923)</t>
  </si>
  <si>
    <t>(FERC 440-444)</t>
  </si>
  <si>
    <t>Financing Balance</t>
  </si>
  <si>
    <t>kWh</t>
  </si>
  <si>
    <t>Forecast kWh</t>
  </si>
  <si>
    <t>2023 Amended Rider RRC Filing</t>
  </si>
  <si>
    <t>Current Rider RRC Revenues</t>
  </si>
  <si>
    <t>($/kWh)</t>
  </si>
  <si>
    <t>A</t>
  </si>
  <si>
    <t>B</t>
  </si>
  <si>
    <t>C</t>
  </si>
  <si>
    <t>D = B x C</t>
  </si>
  <si>
    <t>Regulaory</t>
  </si>
  <si>
    <t>Lag</t>
  </si>
  <si>
    <t>**</t>
  </si>
  <si>
    <t>Regulatory Lag **</t>
  </si>
  <si>
    <t>Rider RRC Filing</t>
  </si>
  <si>
    <t>1 - 2023 &amp; 2024 Filings</t>
  </si>
  <si>
    <t>Calculation of adjustment for Regulatory Lag</t>
  </si>
  <si>
    <t>2 - 2025 RRC Filing</t>
  </si>
  <si>
    <t>3 - Regulatory Lag (L1 - L2)</t>
  </si>
  <si>
    <t xml:space="preserve">Attachment EE&amp;C-1 </t>
  </si>
  <si>
    <t xml:space="preserve">Page 7 of 7 </t>
  </si>
  <si>
    <t>Proposed     2025 Rider RRC Filing</t>
  </si>
  <si>
    <t>Riders</t>
  </si>
  <si>
    <t>Rate Filing</t>
  </si>
  <si>
    <t>2023 Rider RRC Filing</t>
  </si>
  <si>
    <t>2024 Rider RRC Filing</t>
  </si>
  <si>
    <t>Proposed Rider RRC Revenues</t>
  </si>
  <si>
    <t>With NJ Sales Tax</t>
  </si>
  <si>
    <t>RRC Rate ($/kwh)</t>
  </si>
  <si>
    <t>2024 Amended RRC Filing</t>
  </si>
  <si>
    <t>2023 Amended RRC Filing</t>
  </si>
  <si>
    <t>2025 Rider      RRC Filing</t>
  </si>
  <si>
    <t>Jersey Central Power &amp; Light Company (JCP&amp;L)</t>
  </si>
  <si>
    <t>Pre-Filing Meeting</t>
  </si>
  <si>
    <t>Thursday, January 29, 2026</t>
  </si>
  <si>
    <t>Actuals Through 12/31/2025</t>
  </si>
  <si>
    <t>Based on 19,594,100 MWh forecast Sales for the 12 Months Ended June 30, 2027.</t>
  </si>
  <si>
    <t>Rider RRC</t>
  </si>
  <si>
    <t xml:space="preserve"> Component</t>
  </si>
  <si>
    <t>Rider RRC  Component</t>
  </si>
  <si>
    <t>* Please note that the total requested increase that JCP&amp;L is seeking in its 2025 Rider RRC Filing is $241 million.</t>
  </si>
  <si>
    <t>Proposed 2025 RRC Rate***</t>
  </si>
  <si>
    <t>2025 Proposed RRC Filing***</t>
  </si>
  <si>
    <t>Proposed Rates Effective July 1, 2026*</t>
  </si>
  <si>
    <t>Slide 2</t>
  </si>
  <si>
    <t>Slide 3</t>
  </si>
  <si>
    <t>Calculation of Regulatory Lag Adj.by Rider</t>
  </si>
  <si>
    <t>EEC1</t>
  </si>
  <si>
    <t>Rider</t>
  </si>
  <si>
    <t>Proposed 2025 RRC Rate</t>
  </si>
  <si>
    <t>"As Filed"</t>
  </si>
  <si>
    <t>2025 Rider</t>
  </si>
  <si>
    <t>RRC Filing</t>
  </si>
  <si>
    <t>2023-25</t>
  </si>
  <si>
    <t>Total 2023-25 RRC Filings</t>
  </si>
  <si>
    <t>2023 Rider RRC Incr/(Decr) with SUT</t>
  </si>
  <si>
    <t>Sales in kWh</t>
  </si>
  <si>
    <t>2024 Amended Rider Filing**</t>
  </si>
  <si>
    <t>2023 Rider RRC Incr/(Decr) without SUT</t>
  </si>
  <si>
    <t>2024 Rider RRC Incr/(Decr) with SUT</t>
  </si>
  <si>
    <t>2024 Rider RRC Incr/(Decr) without SUT</t>
  </si>
  <si>
    <t>2025 Rider RRC Incr/(Decr) without SUT</t>
  </si>
  <si>
    <t>2025 Rider RRC Incr/(Decr) with SUT</t>
  </si>
  <si>
    <t>7/2021 - 12/2025</t>
  </si>
  <si>
    <t>Rider RRC Rate and Revenue Calculations</t>
  </si>
  <si>
    <t>Rounding Diff</t>
  </si>
  <si>
    <t>Double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</si>
</sst>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0%"/>
    <numFmt numFmtId="167" formatCode="0.00000%"/>
    <numFmt numFmtId="168" formatCode="_(&quot;$&quot;* #,##0.000000_);_(&quot;$&quot;* \(#,##0.000000\);_(&quot;$&quot;* &quot;-&quot;??_);_(@_)"/>
    <numFmt numFmtId="169" formatCode="_(* #,##0.000000_);_(* \(#,##0.000000\);_(* &quot;-&quot;??_);_(@_)"/>
    <numFmt numFmtId="170" formatCode="#,##0_);[Red]\(#,##0\);&quot; &quot;"/>
    <numFmt numFmtId="171" formatCode="0_);\(0\)"/>
    <numFmt numFmtId="172" formatCode="_(* #,##0.000000_);_(* \(#,##0.000000\);_(* &quot;-&quot;??????_);_(@_)"/>
    <numFmt numFmtId="173" formatCode="_(* #,##0.000_);_(* \(#,##0.000\);_(* &quot;-&quot;??_);_(@_)"/>
    <numFmt numFmtId="174" formatCode="0.000%"/>
    <numFmt numFmtId="175" formatCode="&quot;$&quot;#,##0.000000_);\(&quot;$&quot;#,##0.000000\)"/>
    <numFmt numFmtId="176" formatCode="_(* #,##0.00000_);_(* \(#,##0.00000\);_(* &quot;-&quot;??_);_(@_)"/>
    <numFmt numFmtId="177" formatCode="0.0%"/>
    <numFmt numFmtId="178" formatCode="[$-409]mmmm\-yy;@"/>
    <numFmt numFmtId="179" formatCode="[$-409]mmm\-yy;@"/>
    <numFmt numFmtId="180" formatCode="_(&quot;$&quot;* #,##0.000000_);_(&quot;$&quot;* \(#,##0.000000\);_(&quot;$&quot;* &quot;-&quot;??????_);_(@_)"/>
  </numFmts>
  <fonts count="63"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val="singleAccounting"/>
      <sz val="11"/>
      <color theme="1"/>
      <name val="Calibri"/>
      <family val="2"/>
      <scheme val="minor"/>
    </font>
    <font>
      <sz val="10"/>
      <color theme="1"/>
      <name val="Arial"/>
      <family val="2"/>
    </font>
    <font>
      <b/>
      <sz val="10"/>
      <name val="Arial"/>
      <family val="2"/>
    </font>
    <font>
      <b/>
      <sz val="10"/>
      <color theme="1"/>
      <name val="Arial"/>
      <family val="2"/>
    </font>
    <font>
      <sz val="10"/>
      <name val="Arial"/>
      <family val="2"/>
    </font>
    <font>
      <sz val="8"/>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2"/>
      <name val="Calibri"/>
      <family val="2"/>
      <scheme val="minor"/>
    </font>
    <font>
      <b/>
      <sz val="13"/>
      <name val="Calibri"/>
      <family val="2"/>
      <scheme val="minor"/>
    </font>
    <font>
      <sz val="13"/>
      <color theme="1"/>
      <name val="Calibri"/>
      <family val="2"/>
      <scheme val="minor"/>
    </font>
    <font>
      <sz val="12"/>
      <color rgb="FF000000"/>
      <name val="Calibri"/>
      <family val="2"/>
    </font>
    <font>
      <sz val="9"/>
      <name val="Calibri"/>
      <family val="2"/>
    </font>
    <font>
      <b/>
      <sz val="9"/>
      <color indexed="81"/>
      <name val="Tahoma"/>
      <family val="2"/>
    </font>
    <font>
      <sz val="9"/>
      <color indexed="81"/>
      <name val="Tahoma"/>
      <family val="2"/>
    </font>
    <font>
      <b/>
      <sz val="12"/>
      <color theme="1"/>
      <name val="Calibri"/>
      <family val="2"/>
    </font>
    <font>
      <b/>
      <sz val="14"/>
      <color theme="1"/>
      <name val="Calibri"/>
      <family val="2"/>
      <scheme val="minor"/>
    </font>
    <font>
      <b/>
      <sz val="12"/>
      <color rgb="FF0000FF"/>
      <name val="Calibri"/>
      <family val="2"/>
      <scheme val="minor"/>
    </font>
    <font>
      <b/>
      <sz val="9"/>
      <name val="Calibri"/>
      <family val="2"/>
    </font>
    <font>
      <b/>
      <sz val="9"/>
      <color theme="1"/>
      <name val="Calibri"/>
      <family val="2"/>
    </font>
    <font>
      <b/>
      <sz val="12"/>
      <name val="Calibri"/>
      <family val="2"/>
    </font>
    <font>
      <sz val="11"/>
      <color theme="1"/>
      <name val="Calibri"/>
      <family val="2"/>
    </font>
    <font>
      <sz val="11"/>
      <color rgb="FF0000FF"/>
      <name val="Calibri"/>
      <family val="2"/>
      <scheme val="minor"/>
    </font>
    <font>
      <u/>
      <sz val="10"/>
      <color theme="10"/>
      <name val="Arial"/>
      <family val="2"/>
    </font>
    <font>
      <sz val="12"/>
      <name val="Arial"/>
      <family val="2"/>
    </font>
    <font>
      <b/>
      <vertAlign val="superscript"/>
      <sz val="12"/>
      <color theme="1"/>
      <name val="Calibri"/>
      <family val="2"/>
      <scheme val="minor"/>
    </font>
    <font>
      <vertAlign val="superscript"/>
      <sz val="11"/>
      <color theme="1"/>
      <name val="Calibri"/>
      <family val="2"/>
      <scheme val="minor"/>
    </font>
    <font>
      <b/>
      <sz val="14"/>
      <name val="Calibri"/>
      <family val="2"/>
      <scheme val="minor"/>
    </font>
    <font>
      <b/>
      <sz val="14"/>
      <name val="Calibri"/>
      <family val="2"/>
    </font>
    <font>
      <sz val="14"/>
      <color theme="1"/>
      <name val="Calibri"/>
      <family val="2"/>
    </font>
    <font>
      <b/>
      <sz val="14"/>
      <color theme="1"/>
      <name val="Calibri"/>
      <family val="2"/>
    </font>
    <font>
      <b/>
      <sz val="16"/>
      <color theme="1"/>
      <name val="Calibri"/>
      <family val="2"/>
      <scheme val="minor"/>
    </font>
    <font>
      <sz val="11"/>
      <color indexed="8"/>
      <name val="Calibri"/>
      <family val="2"/>
      <scheme val="minor"/>
    </font>
    <font>
      <sz val="9"/>
      <color indexed="8"/>
      <name val="Calibri"/>
      <family val="2"/>
      <scheme val="minor"/>
    </font>
    <font>
      <sz val="9"/>
      <color theme="1"/>
      <name val="Calibri"/>
      <family val="2"/>
      <scheme val="minor"/>
    </font>
    <font>
      <b/>
      <sz val="11"/>
      <color theme="1"/>
      <name val="Times New Roman"/>
      <family val="1"/>
    </font>
    <font>
      <sz val="11"/>
      <color theme="1"/>
      <name val="Times New Roman"/>
      <family val="1"/>
    </font>
    <font>
      <sz val="11"/>
      <color rgb="FF000000"/>
      <name val="Times New Roman"/>
      <family val="1"/>
    </font>
    <font>
      <sz val="12"/>
      <color rgb="FF000000"/>
      <name val="Calibri"/>
      <family val="2"/>
      <scheme val="minor"/>
    </font>
    <font>
      <u/>
      <sz val="12"/>
      <color theme="1"/>
      <name val="Calibri"/>
      <family val="2"/>
      <scheme val="minor"/>
    </font>
    <font>
      <b/>
      <sz val="11"/>
      <color theme="0"/>
      <name val="Calibri"/>
      <family val="2"/>
      <scheme val="minor"/>
    </font>
    <font>
      <b/>
      <sz val="10"/>
      <color theme="1"/>
      <name val="Calibri"/>
      <family val="2"/>
      <scheme val="minor"/>
    </font>
    <font>
      <b/>
      <sz val="10"/>
      <color theme="0"/>
      <name val="Calibri"/>
      <family val="2"/>
      <scheme val="minor"/>
    </font>
    <font>
      <sz val="12"/>
      <color theme="1"/>
      <name val="Calibri"/>
      <family val="2"/>
    </font>
    <font>
      <b/>
      <sz val="11"/>
      <color rgb="FF0000FF"/>
      <name val="Calibri"/>
      <family val="2"/>
      <scheme val="minor"/>
    </font>
    <font>
      <b/>
      <u/>
      <sz val="11"/>
      <color theme="1"/>
      <name val="Calibri"/>
      <family val="2"/>
      <scheme val="minor"/>
    </font>
    <font>
      <sz val="10"/>
      <color theme="1"/>
      <name val="Calibri"/>
      <family val="2"/>
      <scheme val="minor"/>
    </font>
    <font>
      <sz val="12"/>
      <color theme="1"/>
      <name val="Times New Roman"/>
      <family val="1"/>
    </font>
    <font>
      <b/>
      <sz val="12"/>
      <color theme="1"/>
      <name val="Times New Roman"/>
      <family val="1"/>
    </font>
    <font>
      <b/>
      <sz val="12"/>
      <color theme="1"/>
      <name val="Symbol"/>
      <family val="1"/>
      <charset val="2"/>
    </font>
    <font>
      <sz val="11"/>
      <name val="Times New Roman"/>
      <family val="1"/>
    </font>
    <font>
      <sz val="12"/>
      <color rgb="FF000000"/>
      <name val="Times New Roman"/>
      <family val="1"/>
    </font>
    <font>
      <b/>
      <sz val="13"/>
      <color theme="1"/>
      <name val="Calibri"/>
      <family val="2"/>
      <scheme val="minor"/>
    </font>
    <font>
      <sz val="12"/>
      <name val="Calibri"/>
      <family val="2"/>
    </font>
    <font>
      <b/>
      <sz val="12"/>
      <name val="Times New Roman"/>
      <family val="1"/>
    </font>
    <font>
      <sz val="10"/>
      <color theme="1"/>
      <name val="Times New Roman"/>
      <family val="1"/>
    </font>
    <font>
      <b/>
      <sz val="14"/>
      <color theme="0"/>
      <name val="Calibri"/>
      <family val="2"/>
      <scheme val="minor"/>
    </font>
    <font>
      <b/>
      <sz val="12"/>
      <color rgb="FF000000"/>
      <name val="Times New Roman"/>
      <family val="1"/>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theme="8" tint="-0.249977111117893"/>
        <bgColor indexed="64"/>
      </patternFill>
    </fill>
    <fill>
      <patternFill patternType="solid">
        <fgColor rgb="FFFF0000"/>
        <bgColor indexed="64"/>
      </patternFill>
    </fill>
    <fill>
      <patternFill patternType="solid">
        <fgColor rgb="FFB7E6FB"/>
        <bgColor indexed="64"/>
      </patternFill>
    </fill>
    <fill>
      <patternFill patternType="solid">
        <fgColor theme="4" tint="0.59999389629810485"/>
        <bgColor indexed="64"/>
      </patternFill>
    </fill>
    <fill>
      <patternFill patternType="solid">
        <fgColor rgb="FFFFCCFF"/>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7" tint="0.79998168889431442"/>
        <bgColor indexed="64"/>
      </patternFill>
    </fill>
  </fills>
  <borders count="7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8"/>
      </left>
      <right style="medium">
        <color indexed="8"/>
      </right>
      <top/>
      <bottom style="medium">
        <color indexed="8"/>
      </bottom>
      <diagonal/>
    </border>
    <border>
      <left style="thin">
        <color auto="1"/>
      </left>
      <right/>
      <top style="thin">
        <color indexed="64"/>
      </top>
      <bottom/>
      <diagonal/>
    </border>
    <border>
      <left/>
      <right style="thin">
        <color auto="1"/>
      </right>
      <top style="thin">
        <color indexed="64"/>
      </top>
      <bottom/>
      <diagonal/>
    </border>
    <border>
      <left/>
      <right/>
      <top style="thin">
        <color indexed="64"/>
      </top>
      <bottom/>
      <diagonal/>
    </border>
    <border>
      <left style="thin">
        <color auto="1"/>
      </left>
      <right/>
      <top/>
      <bottom style="thin">
        <color indexed="64"/>
      </bottom>
      <diagonal/>
    </border>
    <border>
      <left style="thin">
        <color indexed="8"/>
      </left>
      <right style="thin">
        <color indexed="8"/>
      </right>
      <top style="dashed">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style="dashed">
        <color indexed="8"/>
      </bottom>
      <diagonal/>
    </border>
    <border>
      <left style="thin">
        <color indexed="8"/>
      </left>
      <right style="thin">
        <color indexed="8"/>
      </right>
      <top style="medium">
        <color indexed="8"/>
      </top>
      <bottom style="double">
        <color indexed="8"/>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xf numFmtId="0" fontId="28" fillId="0" borderId="0" applyNumberFormat="0" applyFill="0" applyBorder="0" applyAlignment="0" applyProtection="0"/>
    <xf numFmtId="0" fontId="8" fillId="0" borderId="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29" fillId="0" borderId="0"/>
    <xf numFmtId="43" fontId="29" fillId="0" borderId="0" applyFont="0" applyFill="0" applyBorder="0" applyAlignment="0" applyProtection="0"/>
    <xf numFmtId="9" fontId="29" fillId="0" borderId="0" applyFont="0" applyFill="0" applyBorder="0" applyAlignment="0" applyProtection="0"/>
    <xf numFmtId="0" fontId="1" fillId="0" borderId="0"/>
    <xf numFmtId="43" fontId="1"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29"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4" fontId="8" fillId="0" borderId="0" applyFont="0" applyFill="0" applyBorder="0" applyAlignment="0" applyProtection="0"/>
    <xf numFmtId="0" fontId="1" fillId="0" borderId="0"/>
    <xf numFmtId="0" fontId="1" fillId="0" borderId="0"/>
    <xf numFmtId="0" fontId="1" fillId="0" borderId="0"/>
    <xf numFmtId="0" fontId="29" fillId="0" borderId="0"/>
    <xf numFmtId="43" fontId="29" fillId="0" borderId="0" applyFont="0" applyFill="0" applyBorder="0" applyAlignment="0" applyProtection="0"/>
    <xf numFmtId="9" fontId="29" fillId="0" borderId="0" applyFont="0" applyFill="0" applyBorder="0" applyAlignment="0" applyProtection="0"/>
    <xf numFmtId="43" fontId="29" fillId="0" borderId="0" applyFont="0" applyFill="0" applyBorder="0" applyAlignment="0" applyProtection="0"/>
    <xf numFmtId="9" fontId="29" fillId="0" borderId="0" applyFont="0" applyFill="0" applyBorder="0" applyAlignment="0" applyProtection="0"/>
    <xf numFmtId="0" fontId="29"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37" fillId="0" borderId="0"/>
    <xf numFmtId="0" fontId="37" fillId="0" borderId="0"/>
  </cellStyleXfs>
  <cellXfs count="556">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xf numFmtId="0" fontId="3" fillId="0" borderId="0" xfId="0" applyFont="1"/>
    <xf numFmtId="17" fontId="0" fillId="0" borderId="0" xfId="0" applyNumberFormat="1"/>
    <xf numFmtId="164" fontId="0" fillId="0" borderId="0" xfId="1" applyNumberFormat="1" applyFont="1"/>
    <xf numFmtId="165" fontId="0" fillId="0" borderId="0" xfId="2" applyNumberFormat="1" applyFont="1"/>
    <xf numFmtId="165" fontId="0" fillId="0" borderId="0" xfId="0" applyNumberFormat="1"/>
    <xf numFmtId="44" fontId="5" fillId="0" borderId="5" xfId="2" applyFont="1" applyFill="1" applyBorder="1" applyAlignment="1">
      <alignment vertical="center"/>
    </xf>
    <xf numFmtId="44" fontId="8" fillId="0" borderId="6" xfId="2" applyFont="1" applyFill="1" applyBorder="1" applyAlignment="1">
      <alignment vertical="center"/>
    </xf>
    <xf numFmtId="44" fontId="5" fillId="0" borderId="6" xfId="2" applyFont="1" applyFill="1" applyBorder="1" applyAlignment="1">
      <alignment vertical="center"/>
    </xf>
    <xf numFmtId="164" fontId="0" fillId="0" borderId="0" xfId="0" applyNumberFormat="1"/>
    <xf numFmtId="44" fontId="0" fillId="0" borderId="0" xfId="0" applyNumberFormat="1"/>
    <xf numFmtId="43" fontId="0" fillId="0" borderId="0" xfId="0" applyNumberFormat="1"/>
    <xf numFmtId="169" fontId="0" fillId="0" borderId="0" xfId="1" applyNumberFormat="1" applyFont="1"/>
    <xf numFmtId="169" fontId="0" fillId="0" borderId="0" xfId="0" applyNumberFormat="1"/>
    <xf numFmtId="0" fontId="2" fillId="0" borderId="0" xfId="0" applyFont="1" applyAlignment="1">
      <alignment horizontal="right"/>
    </xf>
    <xf numFmtId="8" fontId="0" fillId="0" borderId="0" xfId="0" applyNumberFormat="1"/>
    <xf numFmtId="0" fontId="3" fillId="0" borderId="0" xfId="0" applyFont="1" applyAlignment="1">
      <alignment horizontal="right"/>
    </xf>
    <xf numFmtId="0" fontId="3" fillId="0" borderId="0" xfId="0" applyFont="1" applyAlignment="1">
      <alignment horizontal="center"/>
    </xf>
    <xf numFmtId="0" fontId="3" fillId="0" borderId="1" xfId="0" applyFont="1" applyBorder="1" applyAlignment="1">
      <alignment horizontal="center"/>
    </xf>
    <xf numFmtId="17" fontId="10" fillId="0" borderId="0" xfId="0" applyNumberFormat="1" applyFont="1" applyAlignment="1">
      <alignment horizontal="center"/>
    </xf>
    <xf numFmtId="165" fontId="10" fillId="0" borderId="0" xfId="2" applyNumberFormat="1" applyFont="1"/>
    <xf numFmtId="164" fontId="10" fillId="0" borderId="0" xfId="1" applyNumberFormat="1" applyFont="1"/>
    <xf numFmtId="164" fontId="10" fillId="0" borderId="0" xfId="1" applyNumberFormat="1" applyFont="1" applyFill="1"/>
    <xf numFmtId="0" fontId="0" fillId="0" borderId="0" xfId="0" applyAlignment="1">
      <alignment horizontal="centerContinuous"/>
    </xf>
    <xf numFmtId="0" fontId="3" fillId="0" borderId="0" xfId="0" applyFont="1" applyAlignment="1">
      <alignment horizontal="centerContinuous"/>
    </xf>
    <xf numFmtId="17" fontId="0" fillId="0" borderId="0" xfId="0" applyNumberFormat="1" applyAlignment="1">
      <alignment horizontal="center"/>
    </xf>
    <xf numFmtId="164" fontId="1" fillId="0" borderId="0" xfId="1" applyNumberFormat="1" applyFont="1" applyFill="1"/>
    <xf numFmtId="0" fontId="2" fillId="0" borderId="1" xfId="0" applyFont="1" applyBorder="1" applyAlignment="1">
      <alignment horizontal="centerContinuous"/>
    </xf>
    <xf numFmtId="0" fontId="10" fillId="0" borderId="0" xfId="0" applyFont="1"/>
    <xf numFmtId="167" fontId="3" fillId="3" borderId="2" xfId="3" applyNumberFormat="1" applyFont="1" applyFill="1" applyBorder="1" applyAlignment="1">
      <alignment horizontal="center"/>
    </xf>
    <xf numFmtId="167" fontId="3" fillId="0" borderId="0" xfId="3" applyNumberFormat="1" applyFont="1" applyAlignment="1">
      <alignment horizontal="center"/>
    </xf>
    <xf numFmtId="0" fontId="3" fillId="0" borderId="1" xfId="0" applyFont="1" applyBorder="1"/>
    <xf numFmtId="17" fontId="10" fillId="0" borderId="0" xfId="0" applyNumberFormat="1" applyFont="1"/>
    <xf numFmtId="164" fontId="10" fillId="0" borderId="0" xfId="0" applyNumberFormat="1" applyFont="1"/>
    <xf numFmtId="0" fontId="10" fillId="0" borderId="0" xfId="0" applyFont="1" applyAlignment="1">
      <alignment horizontal="center"/>
    </xf>
    <xf numFmtId="165" fontId="10" fillId="0" borderId="0" xfId="0" applyNumberFormat="1" applyFont="1"/>
    <xf numFmtId="0" fontId="3" fillId="0" borderId="1" xfId="0" applyFont="1" applyBorder="1" applyAlignment="1">
      <alignment horizontal="centerContinuous"/>
    </xf>
    <xf numFmtId="0" fontId="10" fillId="0" borderId="0" xfId="0" applyFont="1" applyAlignment="1">
      <alignment horizontal="centerContinuous"/>
    </xf>
    <xf numFmtId="0" fontId="13" fillId="0" borderId="0" xfId="0" applyFont="1" applyAlignment="1">
      <alignment horizontal="centerContinuous"/>
    </xf>
    <xf numFmtId="0" fontId="10" fillId="0" borderId="0" xfId="0" applyFont="1" applyAlignment="1">
      <alignment vertical="center"/>
    </xf>
    <xf numFmtId="0" fontId="14" fillId="0" borderId="0" xfId="0" applyFont="1" applyAlignment="1">
      <alignment horizontal="centerContinuous" vertical="center"/>
    </xf>
    <xf numFmtId="0" fontId="15" fillId="0" borderId="0" xfId="0" applyFont="1" applyAlignment="1">
      <alignment horizontal="centerContinuous" vertical="center" wrapText="1"/>
    </xf>
    <xf numFmtId="0" fontId="15" fillId="0" borderId="0" xfId="0" applyFont="1" applyAlignment="1">
      <alignment horizontal="centerContinuous" vertical="center"/>
    </xf>
    <xf numFmtId="0" fontId="15" fillId="0" borderId="0" xfId="0" applyFont="1" applyAlignment="1">
      <alignment horizontal="centerContinuous"/>
    </xf>
    <xf numFmtId="0" fontId="14" fillId="0" borderId="0" xfId="0" applyFont="1" applyAlignment="1">
      <alignment horizontal="centerContinuous"/>
    </xf>
    <xf numFmtId="169" fontId="10" fillId="0" borderId="0" xfId="0" applyNumberFormat="1" applyFont="1"/>
    <xf numFmtId="164" fontId="10" fillId="0" borderId="0" xfId="0" applyNumberFormat="1" applyFont="1" applyAlignment="1">
      <alignment horizontal="center"/>
    </xf>
    <xf numFmtId="10" fontId="10" fillId="0" borderId="0" xfId="3" applyNumberFormat="1" applyFont="1"/>
    <xf numFmtId="44" fontId="10" fillId="0" borderId="0" xfId="2" applyFont="1"/>
    <xf numFmtId="170" fontId="0" fillId="0" borderId="0" xfId="0" applyNumberFormat="1"/>
    <xf numFmtId="0" fontId="0" fillId="0" borderId="0" xfId="0" applyAlignment="1">
      <alignment horizontal="right"/>
    </xf>
    <xf numFmtId="0" fontId="10" fillId="0" borderId="0" xfId="0" applyFont="1" applyAlignment="1">
      <alignment horizontal="right"/>
    </xf>
    <xf numFmtId="165" fontId="0" fillId="3" borderId="0" xfId="2" applyNumberFormat="1" applyFont="1" applyFill="1"/>
    <xf numFmtId="164" fontId="0" fillId="3" borderId="0" xfId="1" applyNumberFormat="1" applyFont="1" applyFill="1"/>
    <xf numFmtId="0" fontId="21" fillId="0" borderId="0" xfId="0" applyFont="1"/>
    <xf numFmtId="165" fontId="3" fillId="0" borderId="0" xfId="0" applyNumberFormat="1" applyFont="1" applyAlignment="1">
      <alignment horizontal="right"/>
    </xf>
    <xf numFmtId="165" fontId="10" fillId="0" borderId="0" xfId="0" applyNumberFormat="1" applyFont="1" applyAlignment="1">
      <alignment horizontal="right"/>
    </xf>
    <xf numFmtId="43" fontId="3" fillId="0" borderId="0" xfId="0" applyNumberFormat="1" applyFont="1" applyAlignment="1">
      <alignment horizontal="right"/>
    </xf>
    <xf numFmtId="164" fontId="2" fillId="0" borderId="0" xfId="1" applyNumberFormat="1" applyFont="1" applyFill="1" applyAlignment="1">
      <alignment horizontal="center"/>
    </xf>
    <xf numFmtId="165" fontId="2" fillId="0" borderId="0" xfId="0" applyNumberFormat="1" applyFont="1" applyAlignment="1">
      <alignment horizontal="center"/>
    </xf>
    <xf numFmtId="44" fontId="2" fillId="0" borderId="0" xfId="0" applyNumberFormat="1" applyFont="1" applyAlignment="1">
      <alignment horizontal="center"/>
    </xf>
    <xf numFmtId="10" fontId="0" fillId="0" borderId="0" xfId="0" applyNumberFormat="1"/>
    <xf numFmtId="0" fontId="10" fillId="0" borderId="6" xfId="0" applyFont="1" applyBorder="1"/>
    <xf numFmtId="0" fontId="10" fillId="0" borderId="20" xfId="0" applyFont="1" applyBorder="1"/>
    <xf numFmtId="167" fontId="10" fillId="0" borderId="20" xfId="3" applyNumberFormat="1" applyFont="1" applyFill="1" applyBorder="1"/>
    <xf numFmtId="0" fontId="0" fillId="0" borderId="5" xfId="0" applyBorder="1"/>
    <xf numFmtId="0" fontId="0" fillId="0" borderId="4" xfId="0" applyBorder="1"/>
    <xf numFmtId="0" fontId="0" fillId="0" borderId="21" xfId="0" applyBorder="1"/>
    <xf numFmtId="10" fontId="0" fillId="0" borderId="21" xfId="0" applyNumberFormat="1" applyBorder="1"/>
    <xf numFmtId="171" fontId="0" fillId="0" borderId="0" xfId="0" quotePrefix="1" applyNumberFormat="1" applyAlignment="1">
      <alignment horizontal="center"/>
    </xf>
    <xf numFmtId="0" fontId="2" fillId="0" borderId="0" xfId="0" applyFont="1" applyAlignment="1">
      <alignment horizontal="center" wrapText="1"/>
    </xf>
    <xf numFmtId="165" fontId="0" fillId="0" borderId="0" xfId="2" applyNumberFormat="1" applyFont="1" applyFill="1"/>
    <xf numFmtId="164" fontId="0" fillId="0" borderId="0" xfId="1" applyNumberFormat="1" applyFont="1" applyFill="1"/>
    <xf numFmtId="165" fontId="0" fillId="0" borderId="0" xfId="2" applyNumberFormat="1" applyFont="1" applyFill="1" applyAlignment="1">
      <alignment horizontal="center"/>
    </xf>
    <xf numFmtId="165" fontId="0" fillId="0" borderId="0" xfId="0" applyNumberFormat="1" applyAlignment="1">
      <alignment horizontal="center"/>
    </xf>
    <xf numFmtId="164" fontId="0" fillId="0" borderId="0" xfId="1" applyNumberFormat="1" applyFont="1" applyFill="1" applyAlignment="1">
      <alignment horizontal="center"/>
    </xf>
    <xf numFmtId="17" fontId="0" fillId="0" borderId="1" xfId="0" applyNumberFormat="1" applyBorder="1"/>
    <xf numFmtId="164" fontId="0" fillId="0" borderId="1" xfId="1" applyNumberFormat="1" applyFont="1" applyFill="1" applyBorder="1"/>
    <xf numFmtId="165" fontId="0" fillId="0" borderId="1" xfId="2" applyNumberFormat="1" applyFont="1" applyFill="1" applyBorder="1"/>
    <xf numFmtId="165" fontId="0" fillId="0" borderId="1" xfId="0" applyNumberFormat="1" applyBorder="1"/>
    <xf numFmtId="164" fontId="0" fillId="0" borderId="1" xfId="1" applyNumberFormat="1" applyFont="1" applyFill="1" applyBorder="1" applyAlignment="1">
      <alignment horizontal="center"/>
    </xf>
    <xf numFmtId="164" fontId="1" fillId="0" borderId="1" xfId="1" applyNumberFormat="1" applyFont="1" applyFill="1" applyBorder="1"/>
    <xf numFmtId="164" fontId="1" fillId="0" borderId="1" xfId="1" applyNumberFormat="1" applyFont="1" applyFill="1" applyBorder="1" applyAlignment="1">
      <alignment horizontal="center"/>
    </xf>
    <xf numFmtId="164" fontId="1" fillId="0" borderId="0" xfId="1" applyNumberFormat="1" applyFont="1" applyFill="1" applyBorder="1" applyAlignment="1">
      <alignment horizontal="center"/>
    </xf>
    <xf numFmtId="164" fontId="4" fillId="0" borderId="0" xfId="1" applyNumberFormat="1" applyFont="1" applyFill="1"/>
    <xf numFmtId="164" fontId="1" fillId="0" borderId="0" xfId="1" applyNumberFormat="1" applyFont="1" applyFill="1" applyAlignment="1">
      <alignment horizontal="center"/>
    </xf>
    <xf numFmtId="164" fontId="4" fillId="0" borderId="1" xfId="1" applyNumberFormat="1" applyFont="1" applyFill="1" applyBorder="1"/>
    <xf numFmtId="164" fontId="4" fillId="0" borderId="0" xfId="1" applyNumberFormat="1" applyFont="1" applyFill="1" applyAlignment="1">
      <alignment horizontal="center"/>
    </xf>
    <xf numFmtId="41" fontId="0" fillId="0" borderId="0" xfId="0" applyNumberFormat="1"/>
    <xf numFmtId="41" fontId="10" fillId="0" borderId="0" xfId="0" applyNumberFormat="1" applyFont="1"/>
    <xf numFmtId="164" fontId="3" fillId="0" borderId="0" xfId="1" applyNumberFormat="1" applyFont="1"/>
    <xf numFmtId="44" fontId="0" fillId="0" borderId="0" xfId="2" applyFont="1"/>
    <xf numFmtId="164" fontId="10" fillId="0" borderId="0" xfId="1" applyNumberFormat="1" applyFont="1" applyAlignment="1">
      <alignment horizontal="center"/>
    </xf>
    <xf numFmtId="10" fontId="3" fillId="3" borderId="2" xfId="3" applyNumberFormat="1" applyFont="1" applyFill="1" applyBorder="1" applyAlignment="1">
      <alignment horizontal="center"/>
    </xf>
    <xf numFmtId="17" fontId="0" fillId="3" borderId="0" xfId="0" applyNumberFormat="1" applyFill="1"/>
    <xf numFmtId="165" fontId="0" fillId="3" borderId="0" xfId="2" applyNumberFormat="1" applyFont="1" applyFill="1" applyAlignment="1">
      <alignment horizontal="center"/>
    </xf>
    <xf numFmtId="165" fontId="0" fillId="3" borderId="0" xfId="0" applyNumberFormat="1" applyFill="1"/>
    <xf numFmtId="164" fontId="0" fillId="3" borderId="0" xfId="1" applyNumberFormat="1" applyFont="1" applyFill="1" applyAlignment="1">
      <alignment horizontal="center"/>
    </xf>
    <xf numFmtId="17" fontId="0" fillId="3" borderId="1" xfId="0" applyNumberFormat="1" applyFill="1" applyBorder="1"/>
    <xf numFmtId="164" fontId="0" fillId="3" borderId="1" xfId="1" applyNumberFormat="1" applyFont="1" applyFill="1" applyBorder="1"/>
    <xf numFmtId="165" fontId="0" fillId="3" borderId="1" xfId="2" applyNumberFormat="1" applyFont="1" applyFill="1" applyBorder="1"/>
    <xf numFmtId="165" fontId="0" fillId="3" borderId="1" xfId="0" applyNumberFormat="1" applyFill="1" applyBorder="1"/>
    <xf numFmtId="164" fontId="0" fillId="3" borderId="1" xfId="1" applyNumberFormat="1" applyFont="1" applyFill="1" applyBorder="1" applyAlignment="1">
      <alignment horizontal="center"/>
    </xf>
    <xf numFmtId="170" fontId="23" fillId="3" borderId="0" xfId="0" applyNumberFormat="1" applyFont="1" applyFill="1" applyAlignment="1">
      <alignment horizontal="right"/>
    </xf>
    <xf numFmtId="170" fontId="24" fillId="3" borderId="0" xfId="0" applyNumberFormat="1" applyFont="1" applyFill="1" applyAlignment="1">
      <alignment horizontal="right"/>
    </xf>
    <xf numFmtId="165" fontId="10" fillId="0" borderId="13" xfId="2" applyNumberFormat="1" applyFont="1" applyFill="1" applyBorder="1"/>
    <xf numFmtId="164" fontId="10" fillId="0" borderId="13" xfId="1" applyNumberFormat="1" applyFont="1" applyFill="1" applyBorder="1"/>
    <xf numFmtId="165" fontId="10" fillId="0" borderId="0" xfId="2" applyNumberFormat="1" applyFont="1" applyFill="1"/>
    <xf numFmtId="173" fontId="10" fillId="0" borderId="0" xfId="1" applyNumberFormat="1" applyFont="1"/>
    <xf numFmtId="44" fontId="10" fillId="0" borderId="0" xfId="2" applyFont="1" applyFill="1"/>
    <xf numFmtId="0" fontId="21" fillId="0" borderId="0" xfId="0" applyFont="1" applyAlignment="1">
      <alignment horizontal="right"/>
    </xf>
    <xf numFmtId="0" fontId="21" fillId="0" borderId="0" xfId="0" applyFont="1" applyAlignment="1">
      <alignment horizontal="centerContinuous"/>
    </xf>
    <xf numFmtId="0" fontId="11" fillId="0" borderId="0" xfId="0" applyFont="1" applyAlignment="1">
      <alignment horizontal="centerContinuous"/>
    </xf>
    <xf numFmtId="0" fontId="21" fillId="0" borderId="0" xfId="0" applyFont="1" applyAlignment="1">
      <alignment horizontal="center"/>
    </xf>
    <xf numFmtId="0" fontId="3" fillId="3" borderId="0" xfId="0" applyFont="1" applyFill="1" applyAlignment="1">
      <alignment horizontal="centerContinuous"/>
    </xf>
    <xf numFmtId="0" fontId="10" fillId="3" borderId="0" xfId="0" applyFont="1" applyFill="1" applyAlignment="1">
      <alignment horizontal="centerContinuous"/>
    </xf>
    <xf numFmtId="8" fontId="10" fillId="0" borderId="0" xfId="2" applyNumberFormat="1" applyFont="1"/>
    <xf numFmtId="4" fontId="0" fillId="0" borderId="0" xfId="0" applyNumberFormat="1"/>
    <xf numFmtId="43" fontId="10" fillId="0" borderId="0" xfId="1" applyFont="1"/>
    <xf numFmtId="43" fontId="10" fillId="0" borderId="0" xfId="1" applyFont="1" applyFill="1"/>
    <xf numFmtId="0" fontId="10" fillId="0" borderId="0" xfId="0" quotePrefix="1" applyFont="1" applyAlignment="1">
      <alignment horizontal="center"/>
    </xf>
    <xf numFmtId="44" fontId="0" fillId="0" borderId="0" xfId="2" applyFont="1" applyFill="1"/>
    <xf numFmtId="10" fontId="0" fillId="0" borderId="21" xfId="0" applyNumberFormat="1" applyBorder="1" applyAlignment="1">
      <alignment horizontal="center"/>
    </xf>
    <xf numFmtId="167" fontId="10" fillId="0" borderId="20" xfId="3" applyNumberFormat="1" applyFont="1" applyFill="1" applyBorder="1" applyAlignment="1">
      <alignment horizontal="center"/>
    </xf>
    <xf numFmtId="0" fontId="17" fillId="0" borderId="0" xfId="13" applyFont="1" applyAlignment="1">
      <alignment horizontal="left"/>
    </xf>
    <xf numFmtId="170" fontId="17" fillId="0" borderId="0" xfId="25" applyNumberFormat="1" applyFont="1" applyAlignment="1">
      <alignment horizontal="right"/>
    </xf>
    <xf numFmtId="165" fontId="0" fillId="0" borderId="0" xfId="2" applyNumberFormat="1" applyFont="1" applyFill="1" applyBorder="1"/>
    <xf numFmtId="0" fontId="32" fillId="0" borderId="0" xfId="0" applyFont="1" applyAlignment="1">
      <alignment horizontal="centerContinuous" vertical="center"/>
    </xf>
    <xf numFmtId="0" fontId="36" fillId="0" borderId="0" xfId="0" applyFont="1" applyAlignment="1">
      <alignment horizontal="center"/>
    </xf>
    <xf numFmtId="170" fontId="17" fillId="0" borderId="0" xfId="48" applyNumberFormat="1" applyFont="1" applyAlignment="1">
      <alignment horizontal="right"/>
    </xf>
    <xf numFmtId="44" fontId="39" fillId="0" borderId="0" xfId="0" applyNumberFormat="1" applyFont="1"/>
    <xf numFmtId="44" fontId="38" fillId="0" borderId="0" xfId="0" applyNumberFormat="1" applyFont="1"/>
    <xf numFmtId="0" fontId="38" fillId="3" borderId="32" xfId="0" applyFont="1" applyFill="1" applyBorder="1"/>
    <xf numFmtId="0" fontId="38" fillId="3" borderId="32" xfId="0" applyFont="1" applyFill="1" applyBorder="1" applyAlignment="1">
      <alignment horizontal="center"/>
    </xf>
    <xf numFmtId="44" fontId="17" fillId="3" borderId="33" xfId="2" applyFont="1" applyFill="1" applyBorder="1" applyAlignment="1">
      <alignment horizontal="right"/>
    </xf>
    <xf numFmtId="16" fontId="38" fillId="4" borderId="32" xfId="0" applyNumberFormat="1" applyFont="1" applyFill="1" applyBorder="1"/>
    <xf numFmtId="0" fontId="38" fillId="4" borderId="32" xfId="0" applyFont="1" applyFill="1" applyBorder="1" applyAlignment="1">
      <alignment horizontal="center"/>
    </xf>
    <xf numFmtId="44" fontId="17" fillId="4" borderId="33" xfId="2" applyFont="1" applyFill="1" applyBorder="1" applyAlignment="1">
      <alignment horizontal="right"/>
    </xf>
    <xf numFmtId="0" fontId="38" fillId="4" borderId="32" xfId="0" applyFont="1" applyFill="1" applyBorder="1"/>
    <xf numFmtId="0" fontId="38" fillId="4" borderId="34" xfId="0" applyFont="1" applyFill="1" applyBorder="1"/>
    <xf numFmtId="0" fontId="38" fillId="4" borderId="34" xfId="0" applyFont="1" applyFill="1" applyBorder="1" applyAlignment="1">
      <alignment horizontal="center"/>
    </xf>
    <xf numFmtId="0" fontId="17" fillId="3" borderId="0" xfId="48" applyFont="1" applyFill="1" applyAlignment="1">
      <alignment horizontal="left"/>
    </xf>
    <xf numFmtId="170" fontId="17" fillId="3" borderId="0" xfId="48" applyNumberFormat="1" applyFont="1" applyFill="1" applyAlignment="1">
      <alignment horizontal="right"/>
    </xf>
    <xf numFmtId="170" fontId="17" fillId="4" borderId="0" xfId="48" applyNumberFormat="1" applyFont="1" applyFill="1" applyAlignment="1">
      <alignment horizontal="right"/>
    </xf>
    <xf numFmtId="0" fontId="17" fillId="0" borderId="0" xfId="48" applyFont="1" applyAlignment="1">
      <alignment horizontal="left"/>
    </xf>
    <xf numFmtId="170" fontId="23" fillId="0" borderId="36" xfId="48" applyNumberFormat="1" applyFont="1" applyBorder="1" applyAlignment="1">
      <alignment horizontal="right"/>
    </xf>
    <xf numFmtId="0" fontId="32" fillId="0" borderId="0" xfId="0" applyFont="1" applyAlignment="1">
      <alignment horizontal="centerContinuous"/>
    </xf>
    <xf numFmtId="0" fontId="40" fillId="0" borderId="23" xfId="0" applyFont="1" applyBorder="1" applyAlignment="1">
      <alignment horizontal="centerContinuous"/>
    </xf>
    <xf numFmtId="0" fontId="41" fillId="0" borderId="23" xfId="0" applyFont="1" applyBorder="1" applyAlignment="1">
      <alignment horizontal="centerContinuous"/>
    </xf>
    <xf numFmtId="0" fontId="40" fillId="0" borderId="24" xfId="0" applyFont="1" applyBorder="1" applyAlignment="1">
      <alignment horizontal="centerContinuous"/>
    </xf>
    <xf numFmtId="0" fontId="41" fillId="0" borderId="24" xfId="0" applyFont="1" applyBorder="1" applyAlignment="1">
      <alignment horizontal="centerContinuous"/>
    </xf>
    <xf numFmtId="0" fontId="42" fillId="0" borderId="0" xfId="0" applyFont="1"/>
    <xf numFmtId="0" fontId="40" fillId="0" borderId="37" xfId="0" applyFont="1" applyBorder="1" applyAlignment="1">
      <alignment horizontal="center"/>
    </xf>
    <xf numFmtId="168" fontId="10" fillId="0" borderId="13" xfId="2" applyNumberFormat="1" applyFont="1" applyBorder="1"/>
    <xf numFmtId="168" fontId="3" fillId="0" borderId="35" xfId="2" applyNumberFormat="1" applyFont="1" applyFill="1" applyBorder="1"/>
    <xf numFmtId="168" fontId="3" fillId="0" borderId="0" xfId="2" applyNumberFormat="1" applyFont="1" applyFill="1" applyBorder="1"/>
    <xf numFmtId="43" fontId="0" fillId="0" borderId="0" xfId="1" applyFont="1"/>
    <xf numFmtId="0" fontId="10" fillId="2" borderId="0" xfId="0" applyFont="1" applyFill="1"/>
    <xf numFmtId="0" fontId="3" fillId="2" borderId="0" xfId="0" applyFont="1" applyFill="1" applyAlignment="1">
      <alignment horizontal="center"/>
    </xf>
    <xf numFmtId="174" fontId="10" fillId="0" borderId="0" xfId="3" applyNumberFormat="1" applyFont="1"/>
    <xf numFmtId="176" fontId="10" fillId="0" borderId="0" xfId="1" applyNumberFormat="1" applyFont="1"/>
    <xf numFmtId="176" fontId="10" fillId="0" borderId="0" xfId="0" applyNumberFormat="1" applyFont="1"/>
    <xf numFmtId="10" fontId="44" fillId="0" borderId="0" xfId="3" applyNumberFormat="1" applyFont="1"/>
    <xf numFmtId="177" fontId="10" fillId="0" borderId="0" xfId="3" applyNumberFormat="1" applyFont="1"/>
    <xf numFmtId="10" fontId="10" fillId="0" borderId="0" xfId="0" applyNumberFormat="1" applyFont="1"/>
    <xf numFmtId="167" fontId="3" fillId="0" borderId="0" xfId="3" applyNumberFormat="1" applyFont="1" applyFill="1"/>
    <xf numFmtId="10" fontId="10" fillId="0" borderId="2" xfId="3" applyNumberFormat="1" applyFont="1" applyBorder="1"/>
    <xf numFmtId="37" fontId="22" fillId="0" borderId="22" xfId="1" applyNumberFormat="1" applyFont="1" applyBorder="1" applyAlignment="1">
      <alignment horizontal="center" vertical="center"/>
    </xf>
    <xf numFmtId="0" fontId="0" fillId="2" borderId="0" xfId="0" applyFill="1"/>
    <xf numFmtId="1" fontId="0" fillId="0" borderId="0" xfId="0" applyNumberFormat="1"/>
    <xf numFmtId="171" fontId="0" fillId="0" borderId="0" xfId="0" applyNumberFormat="1"/>
    <xf numFmtId="43" fontId="0" fillId="0" borderId="37" xfId="1" quotePrefix="1" applyFont="1" applyFill="1" applyBorder="1" applyAlignment="1">
      <alignment vertical="center"/>
    </xf>
    <xf numFmtId="0" fontId="0" fillId="0" borderId="0" xfId="0" quotePrefix="1"/>
    <xf numFmtId="0" fontId="2" fillId="0" borderId="0" xfId="0" quotePrefix="1" applyFont="1" applyAlignment="1">
      <alignment horizontal="center"/>
    </xf>
    <xf numFmtId="0" fontId="2" fillId="0" borderId="38" xfId="0" applyFont="1" applyBorder="1"/>
    <xf numFmtId="0" fontId="27" fillId="0" borderId="37" xfId="0" applyFont="1" applyBorder="1" applyAlignment="1">
      <alignment horizontal="center"/>
    </xf>
    <xf numFmtId="0" fontId="2" fillId="2" borderId="39" xfId="0" applyFont="1" applyFill="1" applyBorder="1" applyAlignment="1">
      <alignment horizontal="center"/>
    </xf>
    <xf numFmtId="1" fontId="0" fillId="0" borderId="0" xfId="0" applyNumberFormat="1" applyAlignment="1">
      <alignment horizontal="right"/>
    </xf>
    <xf numFmtId="2" fontId="0" fillId="3" borderId="40" xfId="0" applyNumberFormat="1" applyFill="1" applyBorder="1" applyAlignment="1">
      <alignment horizontal="center"/>
    </xf>
    <xf numFmtId="44" fontId="0" fillId="0" borderId="0" xfId="2" quotePrefix="1" applyFont="1"/>
    <xf numFmtId="1" fontId="0" fillId="0" borderId="0" xfId="0" quotePrefix="1" applyNumberFormat="1"/>
    <xf numFmtId="0" fontId="0" fillId="2" borderId="6" xfId="0" applyFill="1" applyBorder="1"/>
    <xf numFmtId="0" fontId="0" fillId="2" borderId="20" xfId="0" applyFill="1" applyBorder="1"/>
    <xf numFmtId="44" fontId="0" fillId="0" borderId="40" xfId="2" applyFont="1" applyBorder="1"/>
    <xf numFmtId="0" fontId="2" fillId="0" borderId="41" xfId="0" applyFont="1" applyBorder="1"/>
    <xf numFmtId="0" fontId="27" fillId="0" borderId="42" xfId="0" applyFont="1" applyBorder="1" applyAlignment="1">
      <alignment horizontal="center"/>
    </xf>
    <xf numFmtId="44" fontId="0" fillId="0" borderId="43" xfId="2" applyFont="1" applyBorder="1"/>
    <xf numFmtId="0" fontId="2" fillId="3" borderId="10" xfId="0" applyFont="1" applyFill="1" applyBorder="1" applyAlignment="1">
      <alignment horizontal="centerContinuous"/>
    </xf>
    <xf numFmtId="0" fontId="2" fillId="3" borderId="11" xfId="0" applyFont="1" applyFill="1" applyBorder="1" applyAlignment="1">
      <alignment horizontal="centerContinuous"/>
    </xf>
    <xf numFmtId="0" fontId="2" fillId="3" borderId="44" xfId="0" applyFont="1" applyFill="1" applyBorder="1" applyAlignment="1">
      <alignment horizontal="centerContinuous"/>
    </xf>
    <xf numFmtId="0" fontId="0" fillId="3" borderId="11" xfId="0" applyFill="1" applyBorder="1" applyAlignment="1">
      <alignment horizontal="centerContinuous"/>
    </xf>
    <xf numFmtId="1" fontId="0" fillId="0" borderId="37" xfId="0" applyNumberFormat="1" applyBorder="1" applyAlignment="1">
      <alignment horizontal="center" vertical="center" wrapText="1"/>
    </xf>
    <xf numFmtId="178" fontId="0" fillId="0" borderId="37" xfId="0" applyNumberFormat="1" applyBorder="1" applyAlignment="1">
      <alignment horizontal="left" vertical="center" wrapText="1"/>
    </xf>
    <xf numFmtId="44" fontId="27" fillId="0" borderId="37" xfId="2" applyFont="1" applyFill="1" applyBorder="1" applyAlignment="1">
      <alignment vertical="center"/>
    </xf>
    <xf numFmtId="44" fontId="0" fillId="0" borderId="37" xfId="2" applyFont="1" applyBorder="1" applyAlignment="1">
      <alignment horizontal="left" vertical="center" wrapText="1"/>
    </xf>
    <xf numFmtId="2" fontId="0" fillId="0" borderId="37" xfId="0" applyNumberFormat="1" applyBorder="1" applyAlignment="1">
      <alignment horizontal="center" vertical="center" wrapText="1"/>
    </xf>
    <xf numFmtId="44" fontId="1" fillId="0" borderId="37" xfId="2" applyFont="1" applyFill="1" applyBorder="1" applyAlignment="1">
      <alignment vertical="center"/>
    </xf>
    <xf numFmtId="44" fontId="0" fillId="0" borderId="37" xfId="2" quotePrefix="1" applyFont="1" applyFill="1" applyBorder="1" applyAlignment="1">
      <alignment vertical="center"/>
    </xf>
    <xf numFmtId="44" fontId="0" fillId="0" borderId="37" xfId="2" applyFont="1" applyFill="1" applyBorder="1" applyAlignment="1">
      <alignment vertical="center"/>
    </xf>
    <xf numFmtId="43" fontId="27" fillId="0" borderId="37" xfId="1" applyFont="1" applyFill="1" applyBorder="1" applyAlignment="1">
      <alignment vertical="center"/>
    </xf>
    <xf numFmtId="43" fontId="0" fillId="0" borderId="37" xfId="1" applyFont="1" applyFill="1" applyBorder="1" applyAlignment="1">
      <alignment vertical="center"/>
    </xf>
    <xf numFmtId="1" fontId="0" fillId="0" borderId="37" xfId="0" applyNumberFormat="1" applyBorder="1" applyAlignment="1">
      <alignment horizontal="center" vertical="center"/>
    </xf>
    <xf numFmtId="178" fontId="0" fillId="0" borderId="37" xfId="0" applyNumberFormat="1" applyBorder="1" applyAlignment="1">
      <alignment horizontal="left" vertical="center"/>
    </xf>
    <xf numFmtId="2" fontId="0" fillId="0" borderId="37" xfId="0" applyNumberFormat="1" applyBorder="1" applyAlignment="1">
      <alignment horizontal="center" vertical="center"/>
    </xf>
    <xf numFmtId="43" fontId="27" fillId="0" borderId="37" xfId="1" applyFont="1" applyBorder="1" applyAlignment="1">
      <alignment vertical="center"/>
    </xf>
    <xf numFmtId="1" fontId="45" fillId="5" borderId="37" xfId="0" applyNumberFormat="1" applyFont="1" applyFill="1" applyBorder="1" applyAlignment="1">
      <alignment horizontal="center" vertical="center" wrapText="1"/>
    </xf>
    <xf numFmtId="44" fontId="45" fillId="5" borderId="37" xfId="2" applyFont="1" applyFill="1" applyBorder="1" applyAlignment="1">
      <alignment horizontal="left" vertical="center" wrapText="1"/>
    </xf>
    <xf numFmtId="44" fontId="45" fillId="5" borderId="37" xfId="2" applyFont="1" applyFill="1" applyBorder="1" applyAlignment="1">
      <alignment vertical="center"/>
    </xf>
    <xf numFmtId="2" fontId="45" fillId="5" borderId="37" xfId="0" applyNumberFormat="1" applyFont="1" applyFill="1" applyBorder="1" applyAlignment="1">
      <alignment horizontal="center" vertical="center" wrapText="1"/>
    </xf>
    <xf numFmtId="40" fontId="27" fillId="0" borderId="37" xfId="1" applyNumberFormat="1" applyFont="1" applyFill="1" applyBorder="1" applyAlignment="1">
      <alignment vertical="center"/>
    </xf>
    <xf numFmtId="44" fontId="0" fillId="0" borderId="37" xfId="2" applyFont="1" applyBorder="1" applyAlignment="1">
      <alignment horizontal="left" vertical="center"/>
    </xf>
    <xf numFmtId="0" fontId="0" fillId="0" borderId="37" xfId="2" applyNumberFormat="1" applyFont="1" applyBorder="1" applyAlignment="1">
      <alignment horizontal="left" vertical="center" wrapText="1"/>
    </xf>
    <xf numFmtId="44" fontId="47" fillId="5" borderId="37" xfId="2" applyFont="1" applyFill="1" applyBorder="1" applyAlignment="1">
      <alignment vertical="center"/>
    </xf>
    <xf numFmtId="1" fontId="45" fillId="0" borderId="0" xfId="0" applyNumberFormat="1" applyFont="1" applyAlignment="1">
      <alignment horizontal="center" vertical="center" wrapText="1"/>
    </xf>
    <xf numFmtId="1" fontId="45" fillId="0" borderId="45" xfId="0" applyNumberFormat="1" applyFont="1" applyBorder="1" applyAlignment="1">
      <alignment horizontal="center" vertical="center" wrapText="1"/>
    </xf>
    <xf numFmtId="0" fontId="45" fillId="5" borderId="37" xfId="0" applyFont="1" applyFill="1" applyBorder="1" applyAlignment="1">
      <alignment horizontal="center" vertical="center" wrapText="1"/>
    </xf>
    <xf numFmtId="44" fontId="45" fillId="6" borderId="37" xfId="2" applyFont="1" applyFill="1" applyBorder="1" applyAlignment="1">
      <alignment vertical="center"/>
    </xf>
    <xf numFmtId="1" fontId="0" fillId="0" borderId="0" xfId="0" applyNumberFormat="1" applyAlignment="1">
      <alignment horizontal="center"/>
    </xf>
    <xf numFmtId="0" fontId="45" fillId="0" borderId="0" xfId="0" applyFont="1" applyAlignment="1">
      <alignment horizontal="center" vertical="center" wrapText="1"/>
    </xf>
    <xf numFmtId="0" fontId="45" fillId="0" borderId="45" xfId="0" applyFont="1" applyBorder="1" applyAlignment="1">
      <alignment horizontal="center" vertical="center" wrapText="1"/>
    </xf>
    <xf numFmtId="165" fontId="48" fillId="0" borderId="13" xfId="2" applyNumberFormat="1" applyFont="1" applyBorder="1"/>
    <xf numFmtId="41" fontId="48" fillId="0" borderId="13" xfId="2" quotePrefix="1" applyNumberFormat="1" applyFont="1" applyBorder="1"/>
    <xf numFmtId="165" fontId="20" fillId="0" borderId="35" xfId="2" applyNumberFormat="1" applyFont="1" applyBorder="1"/>
    <xf numFmtId="42" fontId="3" fillId="0" borderId="0" xfId="2" applyNumberFormat="1" applyFont="1" applyFill="1" applyBorder="1"/>
    <xf numFmtId="172" fontId="10" fillId="0" borderId="0" xfId="2" applyNumberFormat="1" applyFont="1" applyFill="1" applyBorder="1"/>
    <xf numFmtId="37" fontId="50" fillId="0" borderId="0" xfId="2" applyNumberFormat="1" applyFont="1" applyFill="1" applyBorder="1" applyAlignment="1">
      <alignment horizontal="center"/>
    </xf>
    <xf numFmtId="44" fontId="51" fillId="0" borderId="0" xfId="2" applyFont="1"/>
    <xf numFmtId="165" fontId="0" fillId="0" borderId="0" xfId="0" applyNumberFormat="1" applyAlignment="1">
      <alignment horizontal="centerContinuous"/>
    </xf>
    <xf numFmtId="165" fontId="10" fillId="0" borderId="23" xfId="2" applyNumberFormat="1" applyFont="1" applyFill="1" applyBorder="1"/>
    <xf numFmtId="164" fontId="10" fillId="0" borderId="13" xfId="0" applyNumberFormat="1" applyFont="1" applyBorder="1" applyAlignment="1">
      <alignment horizontal="center"/>
    </xf>
    <xf numFmtId="165" fontId="3" fillId="0" borderId="35" xfId="2" applyNumberFormat="1" applyFont="1" applyBorder="1"/>
    <xf numFmtId="0" fontId="52" fillId="0" borderId="0" xfId="0" applyFont="1" applyAlignment="1">
      <alignment horizontal="justify" vertical="center"/>
    </xf>
    <xf numFmtId="44" fontId="52" fillId="0" borderId="0" xfId="2" applyFont="1" applyAlignment="1">
      <alignment horizontal="justify" vertical="center"/>
    </xf>
    <xf numFmtId="44" fontId="52" fillId="0" borderId="0" xfId="2" applyFont="1" applyAlignment="1">
      <alignment horizontal="justify" vertical="top"/>
    </xf>
    <xf numFmtId="0" fontId="53" fillId="0" borderId="0" xfId="0" applyFont="1" applyAlignment="1">
      <alignment horizontal="center" vertical="center" wrapText="1"/>
    </xf>
    <xf numFmtId="0" fontId="54" fillId="0" borderId="0" xfId="0" applyFont="1" applyAlignment="1">
      <alignment horizontal="center"/>
    </xf>
    <xf numFmtId="0" fontId="53" fillId="0" borderId="0" xfId="0" applyFont="1" applyAlignment="1">
      <alignment horizontal="center" vertical="center"/>
    </xf>
    <xf numFmtId="0" fontId="53" fillId="0" borderId="0" xfId="0" applyFont="1" applyAlignment="1">
      <alignment horizontal="center"/>
    </xf>
    <xf numFmtId="0" fontId="53" fillId="0" borderId="0" xfId="0" applyFont="1" applyAlignment="1">
      <alignment horizontal="centerContinuous" vertical="center" wrapText="1"/>
    </xf>
    <xf numFmtId="0" fontId="52" fillId="0" borderId="0" xfId="0" applyFont="1" applyAlignment="1">
      <alignment vertical="center"/>
    </xf>
    <xf numFmtId="0" fontId="10" fillId="0" borderId="36" xfId="0" applyFont="1" applyBorder="1" applyAlignment="1">
      <alignment horizontal="center" vertical="center"/>
    </xf>
    <xf numFmtId="44" fontId="10" fillId="0" borderId="36" xfId="2" applyFont="1" applyBorder="1" applyAlignment="1">
      <alignment vertical="center"/>
    </xf>
    <xf numFmtId="165" fontId="10" fillId="0" borderId="36" xfId="0" applyNumberFormat="1" applyFont="1" applyBorder="1" applyAlignment="1">
      <alignment vertical="center"/>
    </xf>
    <xf numFmtId="0" fontId="39" fillId="0" borderId="0" xfId="0" applyFont="1"/>
    <xf numFmtId="0" fontId="53" fillId="7" borderId="37" xfId="0" applyFont="1" applyFill="1" applyBorder="1" applyAlignment="1">
      <alignment horizontal="center" wrapText="1"/>
    </xf>
    <xf numFmtId="44" fontId="52" fillId="0" borderId="23" xfId="2" applyFont="1" applyFill="1" applyBorder="1"/>
    <xf numFmtId="42" fontId="41" fillId="0" borderId="23" xfId="0" applyNumberFormat="1" applyFont="1" applyBorder="1"/>
    <xf numFmtId="44" fontId="52" fillId="0" borderId="13" xfId="2" applyFont="1" applyFill="1" applyBorder="1"/>
    <xf numFmtId="41" fontId="41" fillId="0" borderId="13" xfId="0" applyNumberFormat="1" applyFont="1" applyBorder="1"/>
    <xf numFmtId="44" fontId="52" fillId="0" borderId="13" xfId="2" applyFont="1" applyBorder="1"/>
    <xf numFmtId="0" fontId="40" fillId="0" borderId="37" xfId="0" applyFont="1" applyBorder="1" applyAlignment="1">
      <alignment horizontal="center" wrapText="1"/>
    </xf>
    <xf numFmtId="165" fontId="0" fillId="0" borderId="36" xfId="2" applyNumberFormat="1" applyFont="1" applyFill="1" applyBorder="1"/>
    <xf numFmtId="165" fontId="10" fillId="0" borderId="36" xfId="2" applyNumberFormat="1" applyFont="1" applyBorder="1"/>
    <xf numFmtId="165" fontId="10" fillId="0" borderId="36" xfId="2" applyNumberFormat="1" applyFont="1" applyFill="1" applyBorder="1"/>
    <xf numFmtId="44" fontId="6" fillId="0" borderId="48" xfId="2" applyFont="1" applyFill="1" applyBorder="1" applyAlignment="1">
      <alignment vertical="center"/>
    </xf>
    <xf numFmtId="0" fontId="17" fillId="3" borderId="54" xfId="35" applyFont="1" applyFill="1" applyBorder="1" applyAlignment="1">
      <alignment vertical="center" wrapText="1"/>
    </xf>
    <xf numFmtId="0" fontId="17" fillId="0" borderId="54" xfId="35" applyFont="1" applyBorder="1" applyAlignment="1">
      <alignment vertical="center" wrapText="1"/>
    </xf>
    <xf numFmtId="0" fontId="17" fillId="0" borderId="59" xfId="47" applyFont="1" applyBorder="1" applyAlignment="1">
      <alignment horizontal="center" vertical="center" wrapText="1"/>
    </xf>
    <xf numFmtId="175" fontId="17" fillId="0" borderId="59" xfId="2" applyNumberFormat="1" applyFont="1" applyFill="1" applyBorder="1" applyAlignment="1">
      <alignment horizontal="center" vertical="center" wrapText="1"/>
    </xf>
    <xf numFmtId="16" fontId="38" fillId="3" borderId="60" xfId="0" applyNumberFormat="1" applyFont="1" applyFill="1" applyBorder="1"/>
    <xf numFmtId="0" fontId="38" fillId="3" borderId="60" xfId="0" applyFont="1" applyFill="1" applyBorder="1" applyAlignment="1">
      <alignment horizontal="center"/>
    </xf>
    <xf numFmtId="44" fontId="17" fillId="3" borderId="60" xfId="2" applyFont="1" applyFill="1" applyBorder="1" applyAlignment="1">
      <alignment horizontal="right"/>
    </xf>
    <xf numFmtId="0" fontId="38" fillId="0" borderId="61" xfId="0" applyFont="1" applyBorder="1" applyAlignment="1">
      <alignment horizontal="centerContinuous"/>
    </xf>
    <xf numFmtId="44" fontId="38" fillId="0" borderId="61" xfId="2" applyFont="1" applyBorder="1"/>
    <xf numFmtId="0" fontId="2" fillId="3" borderId="62" xfId="0" applyFont="1" applyFill="1" applyBorder="1" applyAlignment="1">
      <alignment horizontal="centerContinuous"/>
    </xf>
    <xf numFmtId="0" fontId="2" fillId="3" borderId="63" xfId="0" applyFont="1" applyFill="1" applyBorder="1" applyAlignment="1">
      <alignment horizontal="centerContinuous"/>
    </xf>
    <xf numFmtId="0" fontId="2" fillId="3" borderId="64" xfId="0" applyFont="1" applyFill="1" applyBorder="1" applyAlignment="1">
      <alignment horizontal="centerContinuous"/>
    </xf>
    <xf numFmtId="0" fontId="2" fillId="0" borderId="62" xfId="0" applyFont="1" applyBorder="1" applyAlignment="1">
      <alignment horizontal="centerContinuous" vertical="center"/>
    </xf>
    <xf numFmtId="0" fontId="0" fillId="0" borderId="63" xfId="0" applyBorder="1" applyAlignment="1">
      <alignment horizontal="centerContinuous" vertical="center"/>
    </xf>
    <xf numFmtId="0" fontId="0" fillId="0" borderId="64" xfId="0" applyBorder="1" applyAlignment="1">
      <alignment horizontal="centerContinuous" vertical="center"/>
    </xf>
    <xf numFmtId="171" fontId="46" fillId="0" borderId="62" xfId="1" applyNumberFormat="1" applyFont="1" applyBorder="1" applyAlignment="1">
      <alignment horizontal="centerContinuous" vertical="center" wrapText="1"/>
    </xf>
    <xf numFmtId="0" fontId="0" fillId="0" borderId="64" xfId="0" applyBorder="1" applyAlignment="1">
      <alignment horizontal="centerContinuous"/>
    </xf>
    <xf numFmtId="171" fontId="46" fillId="0" borderId="65" xfId="1" applyNumberFormat="1" applyFont="1" applyBorder="1" applyAlignment="1">
      <alignment horizontal="center" vertical="center" wrapText="1"/>
    </xf>
    <xf numFmtId="43" fontId="46" fillId="0" borderId="65" xfId="1" applyFont="1" applyBorder="1" applyAlignment="1">
      <alignment horizontal="center" vertical="center" wrapText="1"/>
    </xf>
    <xf numFmtId="43" fontId="46" fillId="3" borderId="65" xfId="1" applyFont="1" applyFill="1" applyBorder="1" applyAlignment="1">
      <alignment horizontal="center" vertical="center" wrapText="1"/>
    </xf>
    <xf numFmtId="0" fontId="17" fillId="0" borderId="54" xfId="0" applyFont="1" applyBorder="1" applyAlignment="1">
      <alignment horizontal="center" vertical="center" wrapText="1"/>
    </xf>
    <xf numFmtId="0" fontId="17" fillId="0" borderId="0" xfId="0" applyFont="1" applyAlignment="1">
      <alignment horizontal="left"/>
    </xf>
    <xf numFmtId="170" fontId="17" fillId="0" borderId="0" xfId="0" applyNumberFormat="1" applyFont="1" applyAlignment="1">
      <alignment horizontal="right"/>
    </xf>
    <xf numFmtId="170" fontId="17" fillId="3" borderId="0" xfId="0" applyNumberFormat="1" applyFont="1" applyFill="1" applyAlignment="1">
      <alignment horizontal="right"/>
    </xf>
    <xf numFmtId="0" fontId="10" fillId="0" borderId="66" xfId="0" applyFont="1" applyBorder="1"/>
    <xf numFmtId="0" fontId="3" fillId="0" borderId="66" xfId="0" applyFont="1" applyBorder="1"/>
    <xf numFmtId="0" fontId="0" fillId="0" borderId="67" xfId="0" applyBorder="1"/>
    <xf numFmtId="0" fontId="10" fillId="0" borderId="68" xfId="0" applyFont="1" applyBorder="1"/>
    <xf numFmtId="0" fontId="10" fillId="0" borderId="68" xfId="0" applyFont="1" applyBorder="1" applyAlignment="1">
      <alignment horizontal="center"/>
    </xf>
    <xf numFmtId="0" fontId="2" fillId="0" borderId="0" xfId="0" applyFont="1" applyAlignment="1">
      <alignment horizontal="centerContinuous"/>
    </xf>
    <xf numFmtId="169" fontId="10" fillId="0" borderId="0" xfId="1" applyNumberFormat="1" applyFont="1" applyFill="1" applyBorder="1"/>
    <xf numFmtId="41" fontId="10" fillId="0" borderId="0" xfId="2" applyNumberFormat="1" applyFont="1" applyFill="1" applyBorder="1"/>
    <xf numFmtId="165" fontId="3" fillId="0" borderId="0" xfId="2" applyNumberFormat="1" applyFont="1" applyFill="1" applyBorder="1"/>
    <xf numFmtId="164" fontId="0" fillId="0" borderId="0" xfId="1" applyNumberFormat="1" applyFont="1" applyFill="1" applyBorder="1"/>
    <xf numFmtId="169" fontId="0" fillId="0" borderId="0" xfId="1" applyNumberFormat="1" applyFont="1" applyFill="1" applyBorder="1"/>
    <xf numFmtId="0" fontId="12" fillId="0" borderId="0" xfId="0" applyFont="1" applyAlignment="1">
      <alignment horizontal="centerContinuous"/>
    </xf>
    <xf numFmtId="8" fontId="43" fillId="0" borderId="0" xfId="0" applyNumberFormat="1" applyFont="1"/>
    <xf numFmtId="0" fontId="43" fillId="0" borderId="0" xfId="0" applyFont="1"/>
    <xf numFmtId="168" fontId="10" fillId="0" borderId="0" xfId="2" applyNumberFormat="1" applyFont="1" applyFill="1" applyBorder="1"/>
    <xf numFmtId="172" fontId="10" fillId="0" borderId="0" xfId="1" applyNumberFormat="1" applyFont="1" applyFill="1" applyBorder="1"/>
    <xf numFmtId="41" fontId="10" fillId="0" borderId="0" xfId="1" applyNumberFormat="1" applyFont="1" applyFill="1" applyBorder="1"/>
    <xf numFmtId="164" fontId="49" fillId="0" borderId="0" xfId="1" applyNumberFormat="1" applyFont="1" applyFill="1" applyBorder="1" applyAlignment="1">
      <alignment horizontal="center"/>
    </xf>
    <xf numFmtId="37" fontId="49" fillId="0" borderId="0" xfId="1" applyNumberFormat="1" applyFont="1" applyFill="1" applyBorder="1"/>
    <xf numFmtId="164" fontId="49" fillId="0" borderId="0" xfId="0" applyNumberFormat="1" applyFont="1"/>
    <xf numFmtId="164" fontId="49" fillId="0" borderId="0" xfId="1" applyNumberFormat="1" applyFont="1" applyFill="1" applyBorder="1"/>
    <xf numFmtId="164" fontId="2" fillId="0" borderId="0" xfId="1" applyNumberFormat="1" applyFont="1" applyFill="1" applyBorder="1" applyAlignment="1">
      <alignment horizontal="centerContinuous"/>
    </xf>
    <xf numFmtId="44" fontId="0" fillId="0" borderId="0" xfId="0" applyNumberFormat="1" applyAlignment="1">
      <alignment wrapText="1"/>
    </xf>
    <xf numFmtId="0" fontId="3" fillId="0" borderId="0" xfId="0" applyFont="1" applyAlignment="1">
      <alignment horizontal="center" vertical="center"/>
    </xf>
    <xf numFmtId="0" fontId="3" fillId="0" borderId="0" xfId="0" applyFont="1" applyAlignment="1">
      <alignment horizontal="left" vertical="center"/>
    </xf>
    <xf numFmtId="170" fontId="17" fillId="8" borderId="0" xfId="48" applyNumberFormat="1" applyFont="1" applyFill="1" applyAlignment="1">
      <alignment horizontal="right"/>
    </xf>
    <xf numFmtId="0" fontId="17" fillId="8" borderId="0" xfId="48" applyFont="1" applyFill="1" applyAlignment="1">
      <alignment horizontal="left"/>
    </xf>
    <xf numFmtId="43" fontId="0" fillId="9" borderId="37" xfId="1" quotePrefix="1" applyFont="1" applyFill="1" applyBorder="1" applyAlignment="1">
      <alignment vertical="center"/>
    </xf>
    <xf numFmtId="43" fontId="0" fillId="9" borderId="0" xfId="0" applyNumberFormat="1" applyFill="1"/>
    <xf numFmtId="43" fontId="0" fillId="9" borderId="37" xfId="1" applyFont="1" applyFill="1" applyBorder="1" applyAlignment="1">
      <alignment vertical="center"/>
    </xf>
    <xf numFmtId="167" fontId="2" fillId="0" borderId="2" xfId="3" applyNumberFormat="1" applyFont="1" applyFill="1" applyBorder="1" applyAlignment="1">
      <alignment horizontal="center"/>
    </xf>
    <xf numFmtId="0" fontId="2" fillId="0" borderId="1" xfId="0" applyFont="1" applyBorder="1" applyAlignment="1">
      <alignment horizontal="center"/>
    </xf>
    <xf numFmtId="10" fontId="2" fillId="0" borderId="2" xfId="3" applyNumberFormat="1" applyFont="1" applyFill="1" applyBorder="1" applyAlignment="1">
      <alignment horizontal="center"/>
    </xf>
    <xf numFmtId="43" fontId="5" fillId="0" borderId="0" xfId="1" applyFont="1" applyFill="1" applyBorder="1" applyAlignment="1">
      <alignment vertical="center"/>
    </xf>
    <xf numFmtId="0" fontId="2" fillId="0" borderId="0" xfId="0" applyFont="1" applyAlignment="1">
      <alignment horizontal="center" vertical="center"/>
    </xf>
    <xf numFmtId="0" fontId="13" fillId="0" borderId="0" xfId="0" applyFont="1" applyAlignment="1">
      <alignment horizontal="centerContinuous" vertical="center"/>
    </xf>
    <xf numFmtId="0" fontId="10" fillId="0" borderId="0" xfId="0" applyFont="1" applyAlignment="1">
      <alignment horizontal="centerContinuous" wrapText="1"/>
    </xf>
    <xf numFmtId="167" fontId="2" fillId="0" borderId="0" xfId="3" applyNumberFormat="1" applyFont="1" applyFill="1" applyAlignment="1">
      <alignment horizontal="center"/>
    </xf>
    <xf numFmtId="43" fontId="0" fillId="0" borderId="0" xfId="1" applyFont="1" applyFill="1"/>
    <xf numFmtId="165" fontId="27" fillId="0" borderId="0" xfId="2" applyNumberFormat="1" applyFont="1" applyFill="1"/>
    <xf numFmtId="164" fontId="2" fillId="0" borderId="0" xfId="0" applyNumberFormat="1" applyFont="1"/>
    <xf numFmtId="165" fontId="10" fillId="0" borderId="0" xfId="0" applyNumberFormat="1" applyFont="1" applyAlignment="1">
      <alignment horizontal="centerContinuous"/>
    </xf>
    <xf numFmtId="10" fontId="10" fillId="0" borderId="0" xfId="3" applyNumberFormat="1" applyFont="1" applyFill="1"/>
    <xf numFmtId="10" fontId="10" fillId="0" borderId="0" xfId="3" applyNumberFormat="1" applyFont="1" applyFill="1" applyAlignment="1">
      <alignment horizontal="center"/>
    </xf>
    <xf numFmtId="166" fontId="10" fillId="0" borderId="0" xfId="3" applyNumberFormat="1" applyFont="1" applyFill="1" applyAlignment="1">
      <alignment horizontal="center"/>
    </xf>
    <xf numFmtId="165" fontId="10" fillId="0" borderId="36" xfId="0" applyNumberFormat="1" applyFont="1" applyBorder="1"/>
    <xf numFmtId="165" fontId="10" fillId="0" borderId="0" xfId="2" applyNumberFormat="1" applyFont="1" applyFill="1" applyBorder="1"/>
    <xf numFmtId="0" fontId="16" fillId="0" borderId="0" xfId="0" applyFont="1"/>
    <xf numFmtId="0" fontId="16" fillId="0" borderId="0" xfId="0" applyFont="1" applyAlignment="1">
      <alignment horizontal="center"/>
    </xf>
    <xf numFmtId="0" fontId="12" fillId="0" borderId="0" xfId="0" applyFont="1" applyAlignment="1">
      <alignment horizontal="center" wrapText="1"/>
    </xf>
    <xf numFmtId="0" fontId="0" fillId="0" borderId="0" xfId="0" applyAlignment="1">
      <alignment horizontal="center" wrapText="1"/>
    </xf>
    <xf numFmtId="168" fontId="10" fillId="0" borderId="0" xfId="2" applyNumberFormat="1" applyFont="1" applyFill="1"/>
    <xf numFmtId="168" fontId="10" fillId="0" borderId="0" xfId="0" applyNumberFormat="1" applyFont="1"/>
    <xf numFmtId="10" fontId="10" fillId="0" borderId="36" xfId="0" applyNumberFormat="1" applyFont="1" applyBorder="1" applyAlignment="1">
      <alignment horizontal="center"/>
    </xf>
    <xf numFmtId="44" fontId="2" fillId="0" borderId="0" xfId="2" applyFont="1" applyFill="1"/>
    <xf numFmtId="0" fontId="12" fillId="10" borderId="0" xfId="0" applyFont="1" applyFill="1" applyAlignment="1">
      <alignment horizontal="centerContinuous"/>
    </xf>
    <xf numFmtId="0" fontId="10" fillId="10" borderId="0" xfId="0" applyFont="1" applyFill="1" applyAlignment="1">
      <alignment horizontal="centerContinuous"/>
    </xf>
    <xf numFmtId="165" fontId="10" fillId="10" borderId="0" xfId="0" applyNumberFormat="1" applyFont="1" applyFill="1" applyAlignment="1">
      <alignment horizontal="centerContinuous"/>
    </xf>
    <xf numFmtId="0" fontId="33" fillId="0" borderId="0" xfId="0" applyFont="1" applyAlignment="1">
      <alignment horizontal="centerContinuous" vertical="center"/>
    </xf>
    <xf numFmtId="0" fontId="34" fillId="0" borderId="0" xfId="0" applyFont="1" applyAlignment="1">
      <alignment horizontal="centerContinuous" vertical="center"/>
    </xf>
    <xf numFmtId="0" fontId="35" fillId="0" borderId="0" xfId="0" applyFont="1" applyAlignment="1">
      <alignment horizontal="centerContinuous" vertical="center"/>
    </xf>
    <xf numFmtId="0" fontId="3" fillId="0" borderId="23" xfId="0" applyFont="1" applyBorder="1" applyAlignment="1">
      <alignment horizontal="center"/>
    </xf>
    <xf numFmtId="14" fontId="3" fillId="0" borderId="24" xfId="0" applyNumberFormat="1" applyFont="1" applyBorder="1" applyAlignment="1">
      <alignment horizontal="center"/>
    </xf>
    <xf numFmtId="0" fontId="25" fillId="0" borderId="26" xfId="0" applyFont="1" applyBorder="1" applyAlignment="1">
      <alignment horizontal="center"/>
    </xf>
    <xf numFmtId="164" fontId="10" fillId="0" borderId="0" xfId="1" applyNumberFormat="1" applyFont="1" applyFill="1" applyBorder="1"/>
    <xf numFmtId="0" fontId="10" fillId="0" borderId="0" xfId="0" applyFont="1" applyAlignment="1">
      <alignment horizontal="center" vertical="top"/>
    </xf>
    <xf numFmtId="0" fontId="10" fillId="0" borderId="0" xfId="0" applyFont="1" applyAlignment="1">
      <alignment wrapText="1"/>
    </xf>
    <xf numFmtId="165" fontId="10" fillId="0" borderId="35" xfId="2" applyNumberFormat="1" applyFont="1" applyFill="1" applyBorder="1"/>
    <xf numFmtId="44" fontId="3" fillId="0" borderId="0" xfId="2" applyFont="1" applyFill="1" applyAlignment="1">
      <alignment wrapText="1"/>
    </xf>
    <xf numFmtId="168" fontId="3" fillId="0" borderId="23" xfId="2" applyNumberFormat="1" applyFont="1" applyFill="1" applyBorder="1"/>
    <xf numFmtId="172" fontId="10" fillId="0" borderId="13" xfId="2" applyNumberFormat="1" applyFont="1" applyFill="1" applyBorder="1"/>
    <xf numFmtId="172" fontId="0" fillId="0" borderId="0" xfId="0" applyNumberFormat="1"/>
    <xf numFmtId="168" fontId="3" fillId="0" borderId="13" xfId="2" applyNumberFormat="1" applyFont="1" applyFill="1" applyBorder="1"/>
    <xf numFmtId="165" fontId="3" fillId="0" borderId="25" xfId="2" applyNumberFormat="1" applyFont="1" applyFill="1" applyBorder="1"/>
    <xf numFmtId="0" fontId="25" fillId="0" borderId="1" xfId="0" applyFont="1" applyBorder="1" applyAlignment="1">
      <alignment horizontal="center"/>
    </xf>
    <xf numFmtId="0" fontId="0" fillId="0" borderId="1" xfId="0" applyBorder="1"/>
    <xf numFmtId="44" fontId="3" fillId="0" borderId="0" xfId="2" applyFont="1" applyFill="1"/>
    <xf numFmtId="168" fontId="3" fillId="0" borderId="22" xfId="2" applyNumberFormat="1" applyFont="1" applyFill="1" applyBorder="1"/>
    <xf numFmtId="165" fontId="3" fillId="0" borderId="35" xfId="2" applyNumberFormat="1" applyFont="1" applyFill="1" applyBorder="1"/>
    <xf numFmtId="0" fontId="25" fillId="0" borderId="0" xfId="0" applyFont="1" applyAlignment="1">
      <alignment horizontal="centerContinuous"/>
    </xf>
    <xf numFmtId="0" fontId="26" fillId="0" borderId="0" xfId="0" applyFont="1" applyAlignment="1">
      <alignment horizontal="centerContinuous"/>
    </xf>
    <xf numFmtId="0" fontId="20" fillId="0" borderId="0" xfId="0" applyFont="1" applyAlignment="1">
      <alignment horizontal="centerContinuous"/>
    </xf>
    <xf numFmtId="1" fontId="7" fillId="0" borderId="10" xfId="0" applyNumberFormat="1" applyFont="1" applyBorder="1" applyAlignment="1">
      <alignment horizontal="center" vertical="center"/>
    </xf>
    <xf numFmtId="0" fontId="7" fillId="0" borderId="11" xfId="0" applyFont="1" applyBorder="1" applyAlignment="1">
      <alignment horizontal="center" vertical="center"/>
    </xf>
    <xf numFmtId="0" fontId="7" fillId="0" borderId="48" xfId="0" applyFont="1" applyBorder="1" applyAlignment="1">
      <alignment horizontal="centerContinuous" vertical="center"/>
    </xf>
    <xf numFmtId="0" fontId="7" fillId="0" borderId="47" xfId="0" applyFont="1" applyBorder="1" applyAlignment="1">
      <alignment horizontal="centerContinuous"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 xfId="0" applyFont="1" applyBorder="1" applyAlignment="1">
      <alignment horizontal="center" vertical="center"/>
    </xf>
    <xf numFmtId="0" fontId="0" fillId="0" borderId="48" xfId="0" applyBorder="1"/>
    <xf numFmtId="0" fontId="0" fillId="0" borderId="47" xfId="0" applyBorder="1"/>
    <xf numFmtId="0" fontId="0" fillId="0" borderId="2" xfId="0" applyBorder="1"/>
    <xf numFmtId="164" fontId="0" fillId="0" borderId="49" xfId="1" applyNumberFormat="1" applyFont="1" applyFill="1" applyBorder="1"/>
    <xf numFmtId="164" fontId="0" fillId="0" borderId="50" xfId="1" applyNumberFormat="1" applyFont="1" applyFill="1" applyBorder="1"/>
    <xf numFmtId="164" fontId="0" fillId="0" borderId="51" xfId="1" applyNumberFormat="1" applyFont="1" applyFill="1" applyBorder="1"/>
    <xf numFmtId="164" fontId="0" fillId="0" borderId="52" xfId="1" applyNumberFormat="1" applyFont="1" applyFill="1" applyBorder="1"/>
    <xf numFmtId="164" fontId="0" fillId="0" borderId="53" xfId="1" applyNumberFormat="1" applyFont="1" applyFill="1" applyBorder="1"/>
    <xf numFmtId="164" fontId="0" fillId="0" borderId="3" xfId="1" applyNumberFormat="1" applyFont="1" applyFill="1" applyBorder="1"/>
    <xf numFmtId="164" fontId="0" fillId="0" borderId="46" xfId="1" applyNumberFormat="1" applyFont="1" applyFill="1" applyBorder="1"/>
    <xf numFmtId="164" fontId="0" fillId="0" borderId="15" xfId="0" applyNumberFormat="1" applyBorder="1"/>
    <xf numFmtId="164" fontId="0" fillId="0" borderId="16" xfId="1" applyNumberFormat="1" applyFont="1" applyFill="1" applyBorder="1"/>
    <xf numFmtId="164" fontId="0" fillId="0" borderId="17" xfId="1" applyNumberFormat="1" applyFont="1" applyFill="1" applyBorder="1"/>
    <xf numFmtId="164" fontId="0" fillId="0" borderId="18" xfId="0" applyNumberFormat="1" applyBorder="1"/>
    <xf numFmtId="0" fontId="5" fillId="0" borderId="0" xfId="0" applyFont="1" applyAlignment="1">
      <alignment vertical="center"/>
    </xf>
    <xf numFmtId="164" fontId="5" fillId="0" borderId="0" xfId="1" applyNumberFormat="1" applyFont="1" applyFill="1" applyBorder="1" applyAlignment="1">
      <alignment vertical="center"/>
    </xf>
    <xf numFmtId="164" fontId="5" fillId="0" borderId="13" xfId="1" applyNumberFormat="1" applyFont="1" applyFill="1" applyBorder="1" applyAlignment="1">
      <alignment vertical="center"/>
    </xf>
    <xf numFmtId="164" fontId="5" fillId="0" borderId="14" xfId="1" applyNumberFormat="1" applyFont="1" applyFill="1" applyBorder="1" applyAlignment="1">
      <alignment vertical="center"/>
    </xf>
    <xf numFmtId="164" fontId="0" fillId="0" borderId="12" xfId="1" applyNumberFormat="1" applyFont="1" applyFill="1" applyBorder="1"/>
    <xf numFmtId="164" fontId="0" fillId="0" borderId="19" xfId="1" applyNumberFormat="1" applyFont="1" applyFill="1" applyBorder="1"/>
    <xf numFmtId="164" fontId="5" fillId="0" borderId="46" xfId="1" applyNumberFormat="1" applyFont="1" applyFill="1" applyBorder="1" applyAlignment="1">
      <alignment vertical="center"/>
    </xf>
    <xf numFmtId="164" fontId="0" fillId="0" borderId="15" xfId="1" applyNumberFormat="1" applyFont="1" applyFill="1" applyBorder="1"/>
    <xf numFmtId="164" fontId="5" fillId="0" borderId="16" xfId="1" applyNumberFormat="1" applyFont="1" applyFill="1" applyBorder="1" applyAlignment="1">
      <alignment vertical="center"/>
    </xf>
    <xf numFmtId="164" fontId="5" fillId="0" borderId="17" xfId="1" applyNumberFormat="1" applyFont="1" applyFill="1" applyBorder="1" applyAlignment="1">
      <alignment vertical="center"/>
    </xf>
    <xf numFmtId="164" fontId="0" fillId="0" borderId="18" xfId="1" applyNumberFormat="1" applyFont="1" applyFill="1" applyBorder="1"/>
    <xf numFmtId="164" fontId="0" fillId="0" borderId="9" xfId="1" applyNumberFormat="1" applyFont="1" applyFill="1" applyBorder="1"/>
    <xf numFmtId="164" fontId="0" fillId="0" borderId="13" xfId="1" applyNumberFormat="1" applyFont="1" applyFill="1" applyBorder="1"/>
    <xf numFmtId="164" fontId="0" fillId="0" borderId="14" xfId="1" applyNumberFormat="1" applyFont="1" applyFill="1" applyBorder="1"/>
    <xf numFmtId="0" fontId="0" fillId="0" borderId="0" xfId="0" applyAlignment="1">
      <alignment vertical="center"/>
    </xf>
    <xf numFmtId="164" fontId="3" fillId="0" borderId="0" xfId="0" applyNumberFormat="1" applyFont="1" applyAlignment="1">
      <alignment horizontal="centerContinuous"/>
    </xf>
    <xf numFmtId="179" fontId="0" fillId="0" borderId="0" xfId="0" applyNumberFormat="1"/>
    <xf numFmtId="179" fontId="0" fillId="0" borderId="48" xfId="0" applyNumberFormat="1" applyBorder="1"/>
    <xf numFmtId="179" fontId="0" fillId="0" borderId="63" xfId="0" applyNumberFormat="1" applyBorder="1"/>
    <xf numFmtId="179" fontId="0" fillId="0" borderId="47" xfId="0" applyNumberFormat="1" applyBorder="1"/>
    <xf numFmtId="164" fontId="10" fillId="0" borderId="36" xfId="1" applyNumberFormat="1" applyFont="1" applyBorder="1"/>
    <xf numFmtId="164" fontId="10" fillId="0" borderId="36" xfId="1" applyNumberFormat="1" applyFont="1" applyFill="1" applyBorder="1"/>
    <xf numFmtId="43" fontId="0" fillId="0" borderId="0" xfId="1" applyFont="1" applyBorder="1"/>
    <xf numFmtId="0" fontId="3" fillId="0" borderId="24" xfId="0" applyFont="1" applyBorder="1" applyAlignment="1">
      <alignment horizontal="center"/>
    </xf>
    <xf numFmtId="168" fontId="55" fillId="0" borderId="23" xfId="2" applyNumberFormat="1" applyFont="1" applyBorder="1"/>
    <xf numFmtId="172" fontId="42" fillId="0" borderId="13" xfId="2" applyNumberFormat="1" applyFont="1" applyBorder="1"/>
    <xf numFmtId="41" fontId="42" fillId="0" borderId="13" xfId="0" applyNumberFormat="1" applyFont="1" applyBorder="1"/>
    <xf numFmtId="42" fontId="3" fillId="0" borderId="35" xfId="2" applyNumberFormat="1" applyFont="1" applyBorder="1"/>
    <xf numFmtId="42" fontId="42" fillId="0" borderId="13" xfId="2" applyNumberFormat="1" applyFont="1" applyBorder="1"/>
    <xf numFmtId="0" fontId="3" fillId="0" borderId="24" xfId="0" applyFont="1" applyBorder="1" applyAlignment="1">
      <alignment horizontal="center" wrapText="1"/>
    </xf>
    <xf numFmtId="0" fontId="12" fillId="11" borderId="0" xfId="0" applyFont="1" applyFill="1" applyAlignment="1">
      <alignment horizontal="centerContinuous"/>
    </xf>
    <xf numFmtId="44" fontId="10" fillId="0" borderId="13" xfId="2" applyFont="1" applyBorder="1"/>
    <xf numFmtId="44" fontId="10" fillId="0" borderId="13" xfId="2" applyFont="1" applyFill="1" applyBorder="1"/>
    <xf numFmtId="0" fontId="3" fillId="0" borderId="25" xfId="0" applyFont="1" applyBorder="1"/>
    <xf numFmtId="44" fontId="10" fillId="0" borderId="23" xfId="2" applyFont="1" applyBorder="1"/>
    <xf numFmtId="44" fontId="10" fillId="0" borderId="24" xfId="2" applyFont="1" applyFill="1" applyBorder="1"/>
    <xf numFmtId="0" fontId="3" fillId="0" borderId="37" xfId="0" applyFont="1" applyBorder="1" applyAlignment="1">
      <alignment horizontal="center" wrapText="1"/>
    </xf>
    <xf numFmtId="42" fontId="0" fillId="0" borderId="0" xfId="0" applyNumberFormat="1"/>
    <xf numFmtId="42" fontId="3" fillId="0" borderId="35" xfId="2" applyNumberFormat="1" applyFont="1" applyBorder="1" applyAlignment="1">
      <alignment horizontal="left"/>
    </xf>
    <xf numFmtId="42" fontId="3" fillId="12" borderId="35" xfId="2" applyNumberFormat="1" applyFont="1" applyFill="1" applyBorder="1"/>
    <xf numFmtId="42" fontId="3" fillId="0" borderId="0" xfId="2" applyNumberFormat="1" applyFont="1" applyBorder="1"/>
    <xf numFmtId="0" fontId="53" fillId="0" borderId="65" xfId="0" applyFont="1" applyBorder="1"/>
    <xf numFmtId="42" fontId="41" fillId="0" borderId="65" xfId="0" applyNumberFormat="1" applyFont="1" applyBorder="1"/>
    <xf numFmtId="0" fontId="7" fillId="0" borderId="63" xfId="0" applyFont="1" applyBorder="1" applyAlignment="1">
      <alignment horizontal="centerContinuous" vertical="center"/>
    </xf>
    <xf numFmtId="0" fontId="7" fillId="0" borderId="65" xfId="0" applyFont="1" applyBorder="1" applyAlignment="1">
      <alignment horizontal="center" vertical="center"/>
    </xf>
    <xf numFmtId="0" fontId="7" fillId="0" borderId="62" xfId="0" applyFont="1" applyBorder="1" applyAlignment="1">
      <alignment horizontal="center" vertical="center"/>
    </xf>
    <xf numFmtId="44" fontId="6" fillId="0" borderId="66" xfId="2" applyFont="1" applyFill="1" applyBorder="1" applyAlignment="1">
      <alignment vertical="center"/>
    </xf>
    <xf numFmtId="0" fontId="0" fillId="0" borderId="63" xfId="0" applyBorder="1"/>
    <xf numFmtId="44" fontId="5" fillId="0" borderId="66" xfId="2" applyFont="1" applyFill="1" applyBorder="1" applyAlignment="1">
      <alignment vertical="center"/>
    </xf>
    <xf numFmtId="164" fontId="0" fillId="0" borderId="67" xfId="1" applyNumberFormat="1" applyFont="1" applyFill="1" applyBorder="1"/>
    <xf numFmtId="164" fontId="0" fillId="0" borderId="63" xfId="1" applyNumberFormat="1" applyFont="1" applyFill="1" applyBorder="1"/>
    <xf numFmtId="0" fontId="2" fillId="3" borderId="69" xfId="0" applyFont="1" applyFill="1" applyBorder="1" applyAlignment="1">
      <alignment horizontal="centerContinuous"/>
    </xf>
    <xf numFmtId="0" fontId="0" fillId="3" borderId="70" xfId="0" applyFill="1" applyBorder="1" applyAlignment="1">
      <alignment horizontal="centerContinuous"/>
    </xf>
    <xf numFmtId="0" fontId="0" fillId="3" borderId="71" xfId="0" applyFill="1" applyBorder="1" applyAlignment="1">
      <alignment horizontal="centerContinuous"/>
    </xf>
    <xf numFmtId="41" fontId="3" fillId="0" borderId="35" xfId="2" applyNumberFormat="1" applyFont="1" applyBorder="1"/>
    <xf numFmtId="44" fontId="3" fillId="0" borderId="25" xfId="2" applyFont="1" applyBorder="1"/>
    <xf numFmtId="44" fontId="3" fillId="0" borderId="25" xfId="2" applyFont="1" applyBorder="1" applyAlignment="1">
      <alignment horizontal="left"/>
    </xf>
    <xf numFmtId="168" fontId="3" fillId="12" borderId="35" xfId="2" applyNumberFormat="1" applyFont="1" applyFill="1" applyBorder="1"/>
    <xf numFmtId="42" fontId="56" fillId="0" borderId="13" xfId="2" applyNumberFormat="1" applyFont="1" applyBorder="1"/>
    <xf numFmtId="41" fontId="56" fillId="0" borderId="13" xfId="0" applyNumberFormat="1" applyFont="1" applyBorder="1"/>
    <xf numFmtId="41" fontId="3" fillId="12" borderId="35" xfId="2" applyNumberFormat="1" applyFont="1" applyFill="1" applyBorder="1"/>
    <xf numFmtId="41" fontId="10" fillId="0" borderId="13" xfId="0" applyNumberFormat="1" applyFont="1" applyBorder="1"/>
    <xf numFmtId="168" fontId="20" fillId="0" borderId="35" xfId="2" applyNumberFormat="1" applyFont="1" applyFill="1" applyBorder="1"/>
    <xf numFmtId="41" fontId="20" fillId="0" borderId="35" xfId="2" applyNumberFormat="1" applyFont="1" applyBorder="1"/>
    <xf numFmtId="0" fontId="57" fillId="0" borderId="28" xfId="0" applyFont="1" applyBorder="1" applyAlignment="1">
      <alignment horizontal="centerContinuous"/>
    </xf>
    <xf numFmtId="0" fontId="15" fillId="0" borderId="30" xfId="0" applyFont="1" applyBorder="1" applyAlignment="1">
      <alignment horizontal="centerContinuous"/>
    </xf>
    <xf numFmtId="0" fontId="15" fillId="0" borderId="29" xfId="0" applyFont="1" applyBorder="1" applyAlignment="1">
      <alignment horizontal="centerContinuous"/>
    </xf>
    <xf numFmtId="0" fontId="57" fillId="0" borderId="31" xfId="0" applyFont="1" applyBorder="1" applyAlignment="1">
      <alignment horizontal="centerContinuous"/>
    </xf>
    <xf numFmtId="169" fontId="57" fillId="0" borderId="1" xfId="1" applyNumberFormat="1" applyFont="1" applyFill="1" applyBorder="1" applyAlignment="1">
      <alignment horizontal="centerContinuous"/>
    </xf>
    <xf numFmtId="0" fontId="57" fillId="0" borderId="1" xfId="0" applyFont="1" applyBorder="1" applyAlignment="1">
      <alignment horizontal="centerContinuous"/>
    </xf>
    <xf numFmtId="168" fontId="57" fillId="0" borderId="26" xfId="2" applyNumberFormat="1" applyFont="1" applyFill="1" applyBorder="1" applyAlignment="1">
      <alignment horizontal="centerContinuous"/>
    </xf>
    <xf numFmtId="0" fontId="10" fillId="0" borderId="0" xfId="0" applyFont="1" applyAlignment="1">
      <alignment horizontal="center" vertical="center"/>
    </xf>
    <xf numFmtId="168" fontId="58" fillId="0" borderId="23" xfId="2" applyNumberFormat="1" applyFont="1" applyBorder="1"/>
    <xf numFmtId="168" fontId="58" fillId="12" borderId="23" xfId="2" applyNumberFormat="1" applyFont="1" applyFill="1" applyBorder="1"/>
    <xf numFmtId="172" fontId="16" fillId="0" borderId="13" xfId="2" applyNumberFormat="1" applyFont="1" applyBorder="1"/>
    <xf numFmtId="172" fontId="16" fillId="12" borderId="13" xfId="2" applyNumberFormat="1" applyFont="1" applyFill="1" applyBorder="1"/>
    <xf numFmtId="172" fontId="16" fillId="12" borderId="24" xfId="2" applyNumberFormat="1" applyFont="1" applyFill="1" applyBorder="1"/>
    <xf numFmtId="0" fontId="48" fillId="0" borderId="0" xfId="0" applyFont="1"/>
    <xf numFmtId="0" fontId="57" fillId="0" borderId="0" xfId="0" applyFont="1" applyAlignment="1">
      <alignment horizontal="centerContinuous"/>
    </xf>
    <xf numFmtId="0" fontId="10" fillId="0" borderId="13" xfId="2" applyNumberFormat="1" applyFont="1" applyBorder="1"/>
    <xf numFmtId="0" fontId="3" fillId="0" borderId="35" xfId="2" applyNumberFormat="1" applyFont="1" applyBorder="1"/>
    <xf numFmtId="0" fontId="57" fillId="0" borderId="31" xfId="0" applyFont="1" applyBorder="1" applyAlignment="1">
      <alignment horizontal="centerContinuous" vertical="center"/>
    </xf>
    <xf numFmtId="0" fontId="20" fillId="0" borderId="24" xfId="0" applyFont="1" applyBorder="1" applyAlignment="1">
      <alignment horizontal="center" wrapText="1"/>
    </xf>
    <xf numFmtId="0" fontId="26" fillId="0" borderId="0" xfId="0" applyFont="1"/>
    <xf numFmtId="0" fontId="20" fillId="0" borderId="37" xfId="0" applyFont="1" applyBorder="1" applyAlignment="1">
      <alignment horizontal="center" wrapText="1"/>
    </xf>
    <xf numFmtId="44" fontId="48" fillId="0" borderId="23" xfId="2" applyFont="1" applyBorder="1"/>
    <xf numFmtId="42" fontId="16" fillId="0" borderId="13" xfId="2" applyNumberFormat="1" applyFont="1" applyBorder="1"/>
    <xf numFmtId="165" fontId="48" fillId="0" borderId="0" xfId="0" applyNumberFormat="1" applyFont="1"/>
    <xf numFmtId="44" fontId="48" fillId="0" borderId="13" xfId="2" applyFont="1" applyBorder="1"/>
    <xf numFmtId="41" fontId="16" fillId="0" borderId="13" xfId="0" applyNumberFormat="1" applyFont="1" applyBorder="1"/>
    <xf numFmtId="44" fontId="48" fillId="0" borderId="13" xfId="2" applyFont="1" applyFill="1" applyBorder="1"/>
    <xf numFmtId="44" fontId="48" fillId="0" borderId="24" xfId="2" applyFont="1" applyFill="1" applyBorder="1"/>
    <xf numFmtId="0" fontId="20" fillId="0" borderId="25" xfId="0" applyFont="1" applyBorder="1"/>
    <xf numFmtId="42" fontId="20" fillId="0" borderId="35" xfId="2" applyNumberFormat="1" applyFont="1" applyBorder="1"/>
    <xf numFmtId="168" fontId="40" fillId="0" borderId="35" xfId="2" applyNumberFormat="1" applyFont="1" applyFill="1" applyBorder="1"/>
    <xf numFmtId="0" fontId="41" fillId="0" borderId="0" xfId="0" applyFont="1"/>
    <xf numFmtId="0" fontId="53" fillId="0" borderId="1" xfId="0" applyFont="1" applyBorder="1" applyAlignment="1">
      <alignment horizontal="center"/>
    </xf>
    <xf numFmtId="0" fontId="52" fillId="0" borderId="0" xfId="0" applyFont="1"/>
    <xf numFmtId="0" fontId="53" fillId="0" borderId="37" xfId="0" applyFont="1" applyBorder="1" applyAlignment="1">
      <alignment horizontal="center"/>
    </xf>
    <xf numFmtId="0" fontId="53" fillId="0" borderId="24" xfId="0" applyFont="1" applyBorder="1" applyAlignment="1">
      <alignment horizontal="center"/>
    </xf>
    <xf numFmtId="44" fontId="52" fillId="0" borderId="0" xfId="2" applyFont="1"/>
    <xf numFmtId="168" fontId="52" fillId="0" borderId="0" xfId="2" applyNumberFormat="1" applyFont="1"/>
    <xf numFmtId="172" fontId="52" fillId="0" borderId="0" xfId="2" applyNumberFormat="1" applyFont="1"/>
    <xf numFmtId="44" fontId="52" fillId="0" borderId="0" xfId="2" applyFont="1" applyFill="1"/>
    <xf numFmtId="0" fontId="53" fillId="0" borderId="0" xfId="0" applyFont="1"/>
    <xf numFmtId="0" fontId="53" fillId="0" borderId="0" xfId="0" applyFont="1" applyAlignment="1">
      <alignment horizontal="centerContinuous"/>
    </xf>
    <xf numFmtId="0" fontId="53" fillId="0" borderId="0" xfId="0" applyFont="1" applyAlignment="1">
      <alignment horizontal="right"/>
    </xf>
    <xf numFmtId="0" fontId="59" fillId="0" borderId="0" xfId="0" applyFont="1" applyAlignment="1">
      <alignment horizontal="centerContinuous"/>
    </xf>
    <xf numFmtId="0" fontId="52" fillId="0" borderId="0" xfId="0" applyFont="1" applyAlignment="1">
      <alignment horizontal="centerContinuous"/>
    </xf>
    <xf numFmtId="168" fontId="53" fillId="0" borderId="0" xfId="2" applyNumberFormat="1" applyFont="1" applyFill="1" applyBorder="1"/>
    <xf numFmtId="169" fontId="52" fillId="0" borderId="0" xfId="1" applyNumberFormat="1" applyFont="1" applyFill="1"/>
    <xf numFmtId="0" fontId="53" fillId="0" borderId="37" xfId="0" applyFont="1" applyBorder="1" applyAlignment="1">
      <alignment horizontal="centerContinuous"/>
    </xf>
    <xf numFmtId="0" fontId="53" fillId="0" borderId="24" xfId="0" applyFont="1" applyBorder="1" applyAlignment="1">
      <alignment horizontal="center" wrapText="1"/>
    </xf>
    <xf numFmtId="165" fontId="52" fillId="0" borderId="0" xfId="0" applyNumberFormat="1" applyFont="1"/>
    <xf numFmtId="42" fontId="53" fillId="0" borderId="35" xfId="2" applyNumberFormat="1" applyFont="1" applyBorder="1"/>
    <xf numFmtId="0" fontId="20" fillId="0" borderId="25" xfId="0" applyFont="1" applyBorder="1" applyAlignment="1">
      <alignment horizontal="center"/>
    </xf>
    <xf numFmtId="0" fontId="53" fillId="0" borderId="37" xfId="0" applyFont="1" applyBorder="1" applyAlignment="1">
      <alignment horizontal="center" wrapText="1"/>
    </xf>
    <xf numFmtId="44" fontId="60" fillId="0" borderId="0" xfId="2" applyFont="1" applyFill="1" applyBorder="1"/>
    <xf numFmtId="0" fontId="3" fillId="13" borderId="37" xfId="0" applyFont="1" applyFill="1" applyBorder="1" applyAlignment="1">
      <alignment horizontal="center" wrapText="1"/>
    </xf>
    <xf numFmtId="0" fontId="53" fillId="0" borderId="1" xfId="0" applyFont="1" applyBorder="1" applyAlignment="1">
      <alignment horizontal="center" wrapText="1"/>
    </xf>
    <xf numFmtId="0" fontId="3" fillId="0" borderId="72" xfId="0" applyFont="1" applyBorder="1" applyAlignment="1">
      <alignment horizontal="center"/>
    </xf>
    <xf numFmtId="0" fontId="53" fillId="0" borderId="72" xfId="0" applyFont="1" applyBorder="1" applyAlignment="1">
      <alignment horizontal="center"/>
    </xf>
    <xf numFmtId="0" fontId="3" fillId="0" borderId="25" xfId="0" applyFont="1" applyBorder="1" applyAlignment="1">
      <alignment horizontal="center"/>
    </xf>
    <xf numFmtId="41" fontId="56" fillId="0" borderId="73" xfId="0" applyNumberFormat="1" applyFont="1" applyBorder="1"/>
    <xf numFmtId="0" fontId="53" fillId="0" borderId="23" xfId="0" applyFont="1" applyBorder="1" applyAlignment="1">
      <alignment horizontal="centerContinuous"/>
    </xf>
    <xf numFmtId="0" fontId="53" fillId="0" borderId="24" xfId="0" applyFont="1" applyBorder="1" applyAlignment="1">
      <alignment horizontal="centerContinuous"/>
    </xf>
    <xf numFmtId="41" fontId="3" fillId="0" borderId="0" xfId="0" applyNumberFormat="1" applyFont="1" applyAlignment="1">
      <alignment horizontal="center"/>
    </xf>
    <xf numFmtId="42" fontId="3" fillId="0" borderId="0" xfId="0" applyNumberFormat="1" applyFont="1" applyAlignment="1">
      <alignment horizontal="center"/>
    </xf>
    <xf numFmtId="44" fontId="26" fillId="0" borderId="0" xfId="2" applyFont="1" applyFill="1" applyBorder="1"/>
    <xf numFmtId="180" fontId="0" fillId="0" borderId="0" xfId="0" applyNumberFormat="1"/>
    <xf numFmtId="44" fontId="21" fillId="3" borderId="37" xfId="2" applyFont="1" applyFill="1" applyBorder="1" applyAlignment="1">
      <alignment horizontal="center" vertical="center"/>
    </xf>
    <xf numFmtId="0" fontId="53" fillId="0" borderId="23" xfId="0" applyFont="1" applyBorder="1" applyAlignment="1">
      <alignment horizontal="center"/>
    </xf>
    <xf numFmtId="0" fontId="20" fillId="0" borderId="0" xfId="0" applyFont="1" applyAlignment="1">
      <alignment horizontal="center"/>
    </xf>
    <xf numFmtId="42" fontId="20" fillId="0" borderId="0" xfId="2" applyNumberFormat="1" applyFont="1" applyBorder="1"/>
    <xf numFmtId="41" fontId="20" fillId="0" borderId="0" xfId="2" applyNumberFormat="1" applyFont="1" applyBorder="1"/>
    <xf numFmtId="42" fontId="20" fillId="3" borderId="35" xfId="2" applyNumberFormat="1" applyFont="1" applyFill="1" applyBorder="1"/>
    <xf numFmtId="168" fontId="20" fillId="3" borderId="35" xfId="2" applyNumberFormat="1" applyFont="1" applyFill="1" applyBorder="1"/>
    <xf numFmtId="0" fontId="3" fillId="0" borderId="35" xfId="0" applyFont="1" applyBorder="1" applyAlignment="1">
      <alignment horizontal="center"/>
    </xf>
    <xf numFmtId="0" fontId="62" fillId="0" borderId="0" xfId="0" applyFont="1" applyAlignment="1">
      <alignment horizontal="centerContinuous"/>
    </xf>
    <xf numFmtId="0" fontId="3" fillId="14" borderId="37" xfId="0" applyFont="1" applyFill="1" applyBorder="1" applyAlignment="1">
      <alignment horizontal="center" wrapText="1"/>
    </xf>
    <xf numFmtId="0" fontId="20" fillId="0" borderId="35" xfId="0" applyFont="1" applyBorder="1" applyAlignment="1">
      <alignment horizontal="center"/>
    </xf>
    <xf numFmtId="42" fontId="20" fillId="0" borderId="35" xfId="2" applyNumberFormat="1" applyFont="1" applyFill="1" applyBorder="1"/>
    <xf numFmtId="42" fontId="3" fillId="0" borderId="72" xfId="0" applyNumberFormat="1" applyFont="1" applyBorder="1" applyAlignment="1">
      <alignment horizontal="center"/>
    </xf>
    <xf numFmtId="43" fontId="3" fillId="0" borderId="72" xfId="0" applyNumberFormat="1" applyFont="1" applyBorder="1" applyAlignment="1">
      <alignment horizontal="center"/>
    </xf>
    <xf numFmtId="43" fontId="53" fillId="0" borderId="72" xfId="0" applyNumberFormat="1" applyFont="1" applyBorder="1" applyAlignment="1">
      <alignment horizontal="center"/>
    </xf>
    <xf numFmtId="168" fontId="0" fillId="0" borderId="0" xfId="0" applyNumberFormat="1"/>
    <xf numFmtId="0" fontId="61" fillId="6" borderId="37" xfId="0" applyFont="1" applyFill="1" applyBorder="1" applyAlignment="1">
      <alignment horizontal="center"/>
    </xf>
    <xf numFmtId="41" fontId="40" fillId="0" borderId="22" xfId="0" applyNumberFormat="1" applyFont="1" applyBorder="1"/>
    <xf numFmtId="168" fontId="40" fillId="0" borderId="22" xfId="2" applyNumberFormat="1" applyFont="1" applyBorder="1"/>
    <xf numFmtId="0" fontId="3" fillId="14" borderId="37" xfId="0" applyFont="1" applyFill="1" applyBorder="1" applyAlignment="1">
      <alignment horizontal="center" vertical="center" wrapText="1"/>
    </xf>
    <xf numFmtId="0" fontId="3" fillId="13" borderId="37" xfId="0" applyFont="1" applyFill="1" applyBorder="1" applyAlignment="1">
      <alignment horizontal="center" vertical="center" wrapText="1"/>
    </xf>
    <xf numFmtId="0" fontId="3" fillId="13" borderId="24" xfId="0" applyFont="1" applyFill="1" applyBorder="1" applyAlignment="1">
      <alignment horizontal="center" vertical="center" wrapText="1"/>
    </xf>
    <xf numFmtId="41" fontId="53" fillId="0" borderId="35" xfId="2" applyNumberFormat="1" applyFont="1" applyBorder="1"/>
    <xf numFmtId="41" fontId="40" fillId="0" borderId="35" xfId="2" applyNumberFormat="1" applyFont="1" applyBorder="1"/>
    <xf numFmtId="0" fontId="53" fillId="0" borderId="1" xfId="0" applyFont="1" applyBorder="1" applyAlignment="1">
      <alignment horizontal="center"/>
    </xf>
    <xf numFmtId="0" fontId="53" fillId="0" borderId="37" xfId="0" applyFont="1" applyBorder="1" applyAlignment="1">
      <alignment horizontal="center"/>
    </xf>
    <xf numFmtId="0" fontId="3" fillId="13" borderId="42" xfId="0" applyFont="1" applyFill="1" applyBorder="1" applyAlignment="1">
      <alignment horizontal="center"/>
    </xf>
    <xf numFmtId="0" fontId="12" fillId="10" borderId="0" xfId="0" applyFont="1" applyFill="1" applyAlignment="1">
      <alignment horizontal="center" wrapText="1"/>
    </xf>
    <xf numFmtId="0" fontId="0" fillId="10" borderId="0" xfId="0" applyFill="1" applyAlignment="1">
      <alignment horizontal="center" wrapText="1"/>
    </xf>
    <xf numFmtId="0" fontId="12" fillId="0" borderId="0" xfId="0" applyFont="1" applyAlignment="1">
      <alignment horizontal="center" wrapText="1"/>
    </xf>
    <xf numFmtId="0" fontId="0" fillId="0" borderId="0" xfId="0" applyAlignment="1">
      <alignment horizontal="center" wrapText="1"/>
    </xf>
    <xf numFmtId="0" fontId="17" fillId="0" borderId="58" xfId="45" applyFont="1" applyBorder="1" applyAlignment="1">
      <alignment horizontal="center" vertical="center" wrapText="1"/>
    </xf>
    <xf numFmtId="0" fontId="17" fillId="0" borderId="27" xfId="45" applyFont="1" applyBorder="1" applyAlignment="1">
      <alignment horizontal="center" vertical="center" wrapText="1"/>
    </xf>
    <xf numFmtId="0" fontId="17" fillId="0" borderId="54" xfId="0" applyFont="1" applyBorder="1" applyAlignment="1">
      <alignment horizontal="center" vertical="center" wrapText="1"/>
    </xf>
    <xf numFmtId="0" fontId="17" fillId="3" borderId="58"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0" borderId="58"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cellXfs>
  <cellStyles count="49">
    <cellStyle name="Comma" xfId="1" builtinId="3"/>
    <cellStyle name="Comma 11" xfId="10" xr:uid="{55C1B519-F7D2-487A-8576-49A26E6DACB5}"/>
    <cellStyle name="Comma 2" xfId="12" xr:uid="{289B90B4-0A53-4F69-B9EB-2F2B709DC222}"/>
    <cellStyle name="Comma 2 2" xfId="23" xr:uid="{686801F5-C27B-4D72-B3D8-04CC058376A9}"/>
    <cellStyle name="Comma 2 2 2" xfId="30" xr:uid="{559A9FDD-A4CE-4C12-A2E5-DB89774F21A3}"/>
    <cellStyle name="Comma 2 3" xfId="27" xr:uid="{81248C21-B9B1-412F-A6E3-DEE6E88B547F}"/>
    <cellStyle name="Comma 2 4" xfId="18" xr:uid="{CCB1332B-02A9-441E-8935-94C71CD0717D}"/>
    <cellStyle name="Comma 3" xfId="9" xr:uid="{45E42246-4BB5-464A-BA8D-330067E5C00F}"/>
    <cellStyle name="Comma 3 2" xfId="19" xr:uid="{1EB03362-0FC7-44C8-AA8B-E7092470DD5E}"/>
    <cellStyle name="Comma 3 3" xfId="39" xr:uid="{5C088388-8ED4-4EA9-9A63-78CFDDE08ABA}"/>
    <cellStyle name="Comma 4" xfId="15" xr:uid="{0B529419-245B-4886-86BF-00F42D43FD44}"/>
    <cellStyle name="Comma 4 2" xfId="43" xr:uid="{CAF605A6-3B2C-483A-85B6-8657588F99BA}"/>
    <cellStyle name="Comma 5" xfId="37" xr:uid="{777FEF58-2C32-4D28-95A1-60729403933D}"/>
    <cellStyle name="Currency" xfId="2" builtinId="4"/>
    <cellStyle name="Currency 2" xfId="8" xr:uid="{72335F4C-A9E3-4151-8789-1A54DE5BEF6B}"/>
    <cellStyle name="Currency 3" xfId="32" xr:uid="{DE27ED4D-83C3-4D23-B9CB-5CD666279F9B}"/>
    <cellStyle name="Hyperlink 2" xfId="6" xr:uid="{5668F52D-D4F2-4E38-8BB0-9DBDD28DDA2D}"/>
    <cellStyle name="Normal" xfId="0" builtinId="0"/>
    <cellStyle name="Normal 10" xfId="4" xr:uid="{21D557C5-92BE-461F-8512-5BD7FF62FDDB}"/>
    <cellStyle name="Normal 11" xfId="42" xr:uid="{B8FCD72C-A6F9-4111-88E4-1DEA70CF9D90}"/>
    <cellStyle name="Normal 12" xfId="44" xr:uid="{9748AEB5-0943-4D89-90EB-ADBB8E638CCB}"/>
    <cellStyle name="Normal 12 2" xfId="46" xr:uid="{D39D62B4-7679-40E3-8A25-EB596636D6D8}"/>
    <cellStyle name="Normal 13" xfId="45" xr:uid="{37CB1F51-088D-47DF-9B3F-3A57A45A2474}"/>
    <cellStyle name="Normal 14" xfId="36" xr:uid="{1B4EA033-7D8F-4F66-898F-E1C13371994C}"/>
    <cellStyle name="Normal 15" xfId="47" xr:uid="{C68B206C-98DB-44D6-B9AA-6D13BDA68E0A}"/>
    <cellStyle name="Normal 16" xfId="48" xr:uid="{7C72FD3C-7DED-4932-8352-09D3B247B040}"/>
    <cellStyle name="Normal 2" xfId="11" xr:uid="{2EF054E4-A3CE-4AB2-BF54-25AEDE9CEC18}"/>
    <cellStyle name="Normal 2 2 2" xfId="7" xr:uid="{31943DC1-9127-427F-AF5E-83393031F409}"/>
    <cellStyle name="Normal 3" xfId="17" xr:uid="{6A960FBF-AEB4-4FF6-8702-99627390ED09}"/>
    <cellStyle name="Normal 3 2" xfId="22" xr:uid="{61AE09B4-3AC7-42D4-89F8-F33EC8D9A2F9}"/>
    <cellStyle name="Normal 3 2 2" xfId="29" xr:uid="{E1EAB4C0-5BEA-49B6-A761-F6925B753FC5}"/>
    <cellStyle name="Normal 3 3" xfId="26" xr:uid="{8683B24F-F269-4253-A518-392BCCDD104A}"/>
    <cellStyle name="Normal 4" xfId="13" xr:uid="{20ADE617-3C23-4734-8145-11F6674A3026}"/>
    <cellStyle name="Normal 4 2 2" xfId="5" xr:uid="{DA245A1B-1A95-409D-96AF-792A821994C7}"/>
    <cellStyle name="Normal 5" xfId="21" xr:uid="{4F6E29E9-EC36-49AC-8E8C-A59EDAA117EF}"/>
    <cellStyle name="Normal 5 2" xfId="24" xr:uid="{F0431AC0-9BD1-4431-8923-4617E2483BC9}"/>
    <cellStyle name="Normal 5 2 2" xfId="31" xr:uid="{4DE4FBDD-AF06-4F8F-BC99-5C2510D57739}"/>
    <cellStyle name="Normal 5 3" xfId="28" xr:uid="{F592D44E-81C0-4BF5-9A46-708180A49F45}"/>
    <cellStyle name="Normal 6" xfId="25" xr:uid="{3BC5F378-CE39-4F56-AD1A-E36F7C8FB765}"/>
    <cellStyle name="Normal 6 2" xfId="41" xr:uid="{3CE880C3-7A87-4A22-8048-FD3AB32FB3EC}"/>
    <cellStyle name="Normal 7" xfId="14" xr:uid="{6CC1A7A2-A787-49A0-93BA-9811B1192045}"/>
    <cellStyle name="Normal 7 2" xfId="33" xr:uid="{012D474F-FAA6-4BD0-9E9F-455903038B0F}"/>
    <cellStyle name="Normal 8" xfId="34" xr:uid="{0861BAF7-A069-46F2-994E-FDF630CEE671}"/>
    <cellStyle name="Normal 9" xfId="35" xr:uid="{3B3DB662-2E77-46B3-9449-A925E771D145}"/>
    <cellStyle name="Percent" xfId="3" builtinId="5"/>
    <cellStyle name="Percent 2" xfId="20" xr:uid="{11A22E9B-1F36-436B-9290-76CD28DAD4B2}"/>
    <cellStyle name="Percent 2 2" xfId="40" xr:uid="{3FD0EE6F-9662-431B-8878-CDF18FC9E0FF}"/>
    <cellStyle name="Percent 3" xfId="16" xr:uid="{F7320F3D-2E9A-46BD-9BF6-AED003E86E91}"/>
    <cellStyle name="Percent 4" xfId="38" xr:uid="{6970A88A-B0CB-407E-83E4-02B4305E8FB0}"/>
  </cellStyles>
  <dxfs count="0"/>
  <tableStyles count="0" defaultTableStyle="TableStyleMedium2" defaultPivotStyle="PivotStyleLight16"/>
  <colors>
    <mruColors>
      <color rgb="FF9966FF"/>
      <color rgb="FFCC66FF"/>
      <color rgb="FFCCECFF"/>
      <color rgb="FF66CCFF"/>
      <color rgb="FF66FFFF"/>
      <color rgb="FFA0DEFA"/>
      <color rgb="FFB7E6FB"/>
      <color rgb="FFD0CECE"/>
      <color rgb="FFCC99FF"/>
      <color rgb="FF8BD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24</xdr:col>
      <xdr:colOff>65746</xdr:colOff>
      <xdr:row>12</xdr:row>
      <xdr:rowOff>74724</xdr:rowOff>
    </xdr:from>
    <xdr:to>
      <xdr:col>34</xdr:col>
      <xdr:colOff>586546</xdr:colOff>
      <xdr:row>58</xdr:row>
      <xdr:rowOff>62988</xdr:rowOff>
    </xdr:to>
    <xdr:pic>
      <xdr:nvPicPr>
        <xdr:cNvPr id="7" name="Picture 6">
          <a:extLst>
            <a:ext uri="{FF2B5EF4-FFF2-40B4-BE49-F238E27FC236}">
              <a16:creationId xmlns:a16="http://schemas.microsoft.com/office/drawing/2014/main" id="{432EE05D-1F23-4086-2446-C4E8E6D3068D}"/>
            </a:ext>
          </a:extLst>
        </xdr:cNvPr>
        <xdr:cNvPicPr>
          <a:picLocks noChangeAspect="1"/>
        </xdr:cNvPicPr>
      </xdr:nvPicPr>
      <xdr:blipFill>
        <a:blip xmlns:r="http://schemas.openxmlformats.org/officeDocument/2006/relationships" r:embed="rId1"/>
        <a:stretch>
          <a:fillRect/>
        </a:stretch>
      </xdr:blipFill>
      <xdr:spPr>
        <a:xfrm>
          <a:off x="18942564" y="2793679"/>
          <a:ext cx="6575814" cy="9677593"/>
        </a:xfrm>
        <a:prstGeom prst="rect">
          <a:avLst/>
        </a:prstGeom>
      </xdr:spPr>
    </xdr:pic>
    <xdr:clientData/>
  </xdr:twoCellAnchor>
  <xdr:twoCellAnchor editAs="oneCell">
    <xdr:from>
      <xdr:col>15</xdr:col>
      <xdr:colOff>38871</xdr:colOff>
      <xdr:row>13</xdr:row>
      <xdr:rowOff>25013</xdr:rowOff>
    </xdr:from>
    <xdr:to>
      <xdr:col>22</xdr:col>
      <xdr:colOff>266184</xdr:colOff>
      <xdr:row>58</xdr:row>
      <xdr:rowOff>134631</xdr:rowOff>
    </xdr:to>
    <xdr:pic>
      <xdr:nvPicPr>
        <xdr:cNvPr id="8" name="Picture 7">
          <a:extLst>
            <a:ext uri="{FF2B5EF4-FFF2-40B4-BE49-F238E27FC236}">
              <a16:creationId xmlns:a16="http://schemas.microsoft.com/office/drawing/2014/main" id="{E9D39C06-487C-C837-47E9-E85B02EBB780}"/>
            </a:ext>
          </a:extLst>
        </xdr:cNvPr>
        <xdr:cNvPicPr>
          <a:picLocks noChangeAspect="1"/>
        </xdr:cNvPicPr>
      </xdr:nvPicPr>
      <xdr:blipFill>
        <a:blip xmlns:r="http://schemas.openxmlformats.org/officeDocument/2006/relationships" r:embed="rId2"/>
        <a:stretch>
          <a:fillRect/>
        </a:stretch>
      </xdr:blipFill>
      <xdr:spPr>
        <a:xfrm>
          <a:off x="10935471" y="3244463"/>
          <a:ext cx="6437614" cy="10001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50800</xdr:colOff>
      <xdr:row>33</xdr:row>
      <xdr:rowOff>88846</xdr:rowOff>
    </xdr:from>
    <xdr:to>
      <xdr:col>14</xdr:col>
      <xdr:colOff>7332133</xdr:colOff>
      <xdr:row>70</xdr:row>
      <xdr:rowOff>155575</xdr:rowOff>
    </xdr:to>
    <xdr:pic>
      <xdr:nvPicPr>
        <xdr:cNvPr id="2" name="Picture 1">
          <a:extLst>
            <a:ext uri="{FF2B5EF4-FFF2-40B4-BE49-F238E27FC236}">
              <a16:creationId xmlns:a16="http://schemas.microsoft.com/office/drawing/2014/main" id="{BEE2BC20-0AC5-C510-0713-4852B0E25BA6}"/>
            </a:ext>
          </a:extLst>
        </xdr:cNvPr>
        <xdr:cNvPicPr>
          <a:picLocks noChangeAspect="1"/>
        </xdr:cNvPicPr>
      </xdr:nvPicPr>
      <xdr:blipFill>
        <a:blip xmlns:r="http://schemas.openxmlformats.org/officeDocument/2006/relationships" r:embed="rId1"/>
        <a:stretch>
          <a:fillRect/>
        </a:stretch>
      </xdr:blipFill>
      <xdr:spPr>
        <a:xfrm>
          <a:off x="11671300" y="7966021"/>
          <a:ext cx="7281333" cy="8410629"/>
        </a:xfrm>
        <a:prstGeom prst="rect">
          <a:avLst/>
        </a:prstGeom>
      </xdr:spPr>
    </xdr:pic>
    <xdr:clientData/>
  </xdr:twoCellAnchor>
  <xdr:twoCellAnchor editAs="oneCell">
    <xdr:from>
      <xdr:col>14</xdr:col>
      <xdr:colOff>60325</xdr:colOff>
      <xdr:row>1</xdr:row>
      <xdr:rowOff>38100</xdr:rowOff>
    </xdr:from>
    <xdr:to>
      <xdr:col>14</xdr:col>
      <xdr:colOff>7339495</xdr:colOff>
      <xdr:row>31</xdr:row>
      <xdr:rowOff>152400</xdr:rowOff>
    </xdr:to>
    <xdr:pic>
      <xdr:nvPicPr>
        <xdr:cNvPr id="4" name="Picture 3">
          <a:extLst>
            <a:ext uri="{FF2B5EF4-FFF2-40B4-BE49-F238E27FC236}">
              <a16:creationId xmlns:a16="http://schemas.microsoft.com/office/drawing/2014/main" id="{2B51C758-4487-1259-4EDE-1AEAB5CF65C8}"/>
            </a:ext>
          </a:extLst>
        </xdr:cNvPr>
        <xdr:cNvPicPr>
          <a:picLocks noChangeAspect="1"/>
        </xdr:cNvPicPr>
      </xdr:nvPicPr>
      <xdr:blipFill>
        <a:blip xmlns:r="http://schemas.openxmlformats.org/officeDocument/2006/relationships" r:embed="rId2"/>
        <a:stretch>
          <a:fillRect/>
        </a:stretch>
      </xdr:blipFill>
      <xdr:spPr>
        <a:xfrm>
          <a:off x="11680825" y="276225"/>
          <a:ext cx="7279170" cy="7181850"/>
        </a:xfrm>
        <a:prstGeom prst="rect">
          <a:avLst/>
        </a:prstGeom>
      </xdr:spPr>
    </xdr:pic>
    <xdr:clientData/>
  </xdr:twoCellAnchor>
  <xdr:twoCellAnchor editAs="oneCell">
    <xdr:from>
      <xdr:col>16</xdr:col>
      <xdr:colOff>28575</xdr:colOff>
      <xdr:row>1</xdr:row>
      <xdr:rowOff>57150</xdr:rowOff>
    </xdr:from>
    <xdr:to>
      <xdr:col>16</xdr:col>
      <xdr:colOff>7230410</xdr:colOff>
      <xdr:row>34</xdr:row>
      <xdr:rowOff>120650</xdr:rowOff>
    </xdr:to>
    <xdr:pic>
      <xdr:nvPicPr>
        <xdr:cNvPr id="9" name="Picture 8">
          <a:extLst>
            <a:ext uri="{FF2B5EF4-FFF2-40B4-BE49-F238E27FC236}">
              <a16:creationId xmlns:a16="http://schemas.microsoft.com/office/drawing/2014/main" id="{4CC0CE69-5EBD-4F7F-A261-CED7E09A4B71}"/>
            </a:ext>
          </a:extLst>
        </xdr:cNvPr>
        <xdr:cNvPicPr>
          <a:picLocks noChangeAspect="1"/>
        </xdr:cNvPicPr>
      </xdr:nvPicPr>
      <xdr:blipFill>
        <a:blip xmlns:r="http://schemas.openxmlformats.org/officeDocument/2006/relationships" r:embed="rId3"/>
        <a:stretch>
          <a:fillRect/>
        </a:stretch>
      </xdr:blipFill>
      <xdr:spPr>
        <a:xfrm>
          <a:off x="17983200" y="295275"/>
          <a:ext cx="7201835" cy="8502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0</xdr:colOff>
      <xdr:row>58</xdr:row>
      <xdr:rowOff>180975</xdr:rowOff>
    </xdr:from>
    <xdr:ext cx="184731" cy="264560"/>
    <xdr:sp macro="" textlink="">
      <xdr:nvSpPr>
        <xdr:cNvPr id="6" name="TextBox 5">
          <a:extLst>
            <a:ext uri="{FF2B5EF4-FFF2-40B4-BE49-F238E27FC236}">
              <a16:creationId xmlns:a16="http://schemas.microsoft.com/office/drawing/2014/main" id="{51643EFD-890A-7577-3462-151A2CCBDB69}"/>
            </a:ext>
          </a:extLst>
        </xdr:cNvPr>
        <xdr:cNvSpPr txBox="1"/>
      </xdr:nvSpPr>
      <xdr:spPr>
        <a:xfrm>
          <a:off x="15601950"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15</xdr:col>
      <xdr:colOff>561975</xdr:colOff>
      <xdr:row>0</xdr:row>
      <xdr:rowOff>0</xdr:rowOff>
    </xdr:from>
    <xdr:to>
      <xdr:col>27</xdr:col>
      <xdr:colOff>206376</xdr:colOff>
      <xdr:row>82</xdr:row>
      <xdr:rowOff>135943</xdr:rowOff>
    </xdr:to>
    <xdr:pic>
      <xdr:nvPicPr>
        <xdr:cNvPr id="2" name="Picture 1">
          <a:extLst>
            <a:ext uri="{FF2B5EF4-FFF2-40B4-BE49-F238E27FC236}">
              <a16:creationId xmlns:a16="http://schemas.microsoft.com/office/drawing/2014/main" id="{1F61DC6E-4473-7FCB-DF45-FE12B260C468}"/>
            </a:ext>
          </a:extLst>
        </xdr:cNvPr>
        <xdr:cNvPicPr>
          <a:picLocks noChangeAspect="1"/>
        </xdr:cNvPicPr>
      </xdr:nvPicPr>
      <xdr:blipFill>
        <a:blip xmlns:r="http://schemas.openxmlformats.org/officeDocument/2006/relationships" r:embed="rId1"/>
        <a:stretch>
          <a:fillRect/>
        </a:stretch>
      </xdr:blipFill>
      <xdr:spPr>
        <a:xfrm>
          <a:off x="27165300" y="0"/>
          <a:ext cx="7296150" cy="11107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25400</xdr:colOff>
      <xdr:row>0</xdr:row>
      <xdr:rowOff>19050</xdr:rowOff>
    </xdr:from>
    <xdr:to>
      <xdr:col>12</xdr:col>
      <xdr:colOff>533400</xdr:colOff>
      <xdr:row>40</xdr:row>
      <xdr:rowOff>93334</xdr:rowOff>
    </xdr:to>
    <xdr:pic>
      <xdr:nvPicPr>
        <xdr:cNvPr id="2" name="Picture 1">
          <a:extLst>
            <a:ext uri="{FF2B5EF4-FFF2-40B4-BE49-F238E27FC236}">
              <a16:creationId xmlns:a16="http://schemas.microsoft.com/office/drawing/2014/main" id="{0B668C24-8260-8C48-0B31-27CE2475DDF8}"/>
            </a:ext>
          </a:extLst>
        </xdr:cNvPr>
        <xdr:cNvPicPr>
          <a:picLocks noChangeAspect="1"/>
        </xdr:cNvPicPr>
      </xdr:nvPicPr>
      <xdr:blipFill>
        <a:blip xmlns:r="http://schemas.openxmlformats.org/officeDocument/2006/relationships" r:embed="rId1"/>
        <a:stretch>
          <a:fillRect/>
        </a:stretch>
      </xdr:blipFill>
      <xdr:spPr>
        <a:xfrm>
          <a:off x="7940675" y="19050"/>
          <a:ext cx="6137275" cy="90341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149225</xdr:colOff>
      <xdr:row>7</xdr:row>
      <xdr:rowOff>120650</xdr:rowOff>
    </xdr:from>
    <xdr:to>
      <xdr:col>0</xdr:col>
      <xdr:colOff>10826750</xdr:colOff>
      <xdr:row>44</xdr:row>
      <xdr:rowOff>111125</xdr:rowOff>
    </xdr:to>
    <xdr:pic>
      <xdr:nvPicPr>
        <xdr:cNvPr id="2" name="Picture 1">
          <a:extLst>
            <a:ext uri="{FF2B5EF4-FFF2-40B4-BE49-F238E27FC236}">
              <a16:creationId xmlns:a16="http://schemas.microsoft.com/office/drawing/2014/main" id="{7A2C05E7-9A5F-DFAC-B9B8-5D1D3223EC92}"/>
            </a:ext>
          </a:extLst>
        </xdr:cNvPr>
        <xdr:cNvPicPr>
          <a:picLocks noChangeAspect="1"/>
        </xdr:cNvPicPr>
      </xdr:nvPicPr>
      <xdr:blipFill>
        <a:blip xmlns:r="http://schemas.openxmlformats.org/officeDocument/2006/relationships" r:embed="rId1"/>
        <a:stretch>
          <a:fillRect/>
        </a:stretch>
      </xdr:blipFill>
      <xdr:spPr>
        <a:xfrm>
          <a:off x="149225" y="1730375"/>
          <a:ext cx="11087100" cy="6934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400050</xdr:colOff>
      <xdr:row>0</xdr:row>
      <xdr:rowOff>0</xdr:rowOff>
    </xdr:from>
    <xdr:to>
      <xdr:col>24</xdr:col>
      <xdr:colOff>496080</xdr:colOff>
      <xdr:row>30</xdr:row>
      <xdr:rowOff>96101</xdr:rowOff>
    </xdr:to>
    <xdr:pic>
      <xdr:nvPicPr>
        <xdr:cNvPr id="3" name="Picture 2">
          <a:extLst>
            <a:ext uri="{FF2B5EF4-FFF2-40B4-BE49-F238E27FC236}">
              <a16:creationId xmlns:a16="http://schemas.microsoft.com/office/drawing/2014/main" id="{4E2B3B70-C786-022F-73E7-CCE7C71C2A5C}"/>
            </a:ext>
          </a:extLst>
        </xdr:cNvPr>
        <xdr:cNvPicPr>
          <a:picLocks noChangeAspect="1"/>
        </xdr:cNvPicPr>
      </xdr:nvPicPr>
      <xdr:blipFill>
        <a:blip xmlns:r="http://schemas.openxmlformats.org/officeDocument/2006/relationships" r:embed="rId1"/>
        <a:stretch>
          <a:fillRect/>
        </a:stretch>
      </xdr:blipFill>
      <xdr:spPr>
        <a:xfrm>
          <a:off x="13706475" y="0"/>
          <a:ext cx="5591955" cy="60968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3D03-6230-4C31-951E-BC1851A51D4C}">
  <sheetPr codeName="Sheet1"/>
  <dimension ref="A1:D57"/>
  <sheetViews>
    <sheetView workbookViewId="0">
      <selection activeCell="C28" sqref="C28"/>
    </sheetView>
  </sheetViews>
  <sheetFormatPr defaultColWidth="9.1796875" defaultRowHeight="15.5" x14ac:dyDescent="0.35"/>
  <cols>
    <col min="1" max="1" width="40.26953125" style="31" bestFit="1" customWidth="1"/>
    <col min="2" max="2" width="7" style="240" bestFit="1" customWidth="1"/>
    <col min="3" max="3" width="29.453125" style="240" bestFit="1" customWidth="1"/>
    <col min="4" max="4" width="182.453125" style="31" bestFit="1" customWidth="1"/>
    <col min="5" max="16384" width="9.1796875" style="31"/>
  </cols>
  <sheetData>
    <row r="1" spans="1:4" x14ac:dyDescent="0.35">
      <c r="A1" s="237" t="s">
        <v>0</v>
      </c>
      <c r="B1" s="237" t="s">
        <v>1</v>
      </c>
      <c r="C1" s="237" t="s">
        <v>2</v>
      </c>
      <c r="D1" s="237" t="s">
        <v>3</v>
      </c>
    </row>
    <row r="2" spans="1:4" x14ac:dyDescent="0.35">
      <c r="A2" s="235" t="s">
        <v>4</v>
      </c>
      <c r="B2" s="238" t="s">
        <v>5</v>
      </c>
      <c r="C2" s="239" t="s">
        <v>6</v>
      </c>
      <c r="D2" s="234" t="s">
        <v>7</v>
      </c>
    </row>
    <row r="3" spans="1:4" x14ac:dyDescent="0.35">
      <c r="A3" s="235" t="s">
        <v>8</v>
      </c>
      <c r="B3" s="238" t="s">
        <v>5</v>
      </c>
      <c r="C3" s="239"/>
      <c r="D3" s="234" t="s">
        <v>9</v>
      </c>
    </row>
    <row r="4" spans="1:4" x14ac:dyDescent="0.35">
      <c r="A4" s="235" t="s">
        <v>10</v>
      </c>
      <c r="B4" s="238" t="s">
        <v>5</v>
      </c>
      <c r="C4" s="239"/>
      <c r="D4" s="234" t="s">
        <v>11</v>
      </c>
    </row>
    <row r="5" spans="1:4" x14ac:dyDescent="0.35">
      <c r="A5" s="235" t="s">
        <v>12</v>
      </c>
      <c r="B5" s="238" t="s">
        <v>5</v>
      </c>
      <c r="C5" s="239"/>
      <c r="D5" s="234" t="s">
        <v>13</v>
      </c>
    </row>
    <row r="6" spans="1:4" x14ac:dyDescent="0.35">
      <c r="A6" s="235" t="s">
        <v>14</v>
      </c>
      <c r="B6" s="239" t="s">
        <v>15</v>
      </c>
      <c r="C6" s="239" t="s">
        <v>16</v>
      </c>
      <c r="D6" s="234" t="s">
        <v>17</v>
      </c>
    </row>
    <row r="7" spans="1:4" x14ac:dyDescent="0.35">
      <c r="A7" s="235"/>
      <c r="C7" s="239"/>
    </row>
    <row r="8" spans="1:4" x14ac:dyDescent="0.35">
      <c r="A8" s="241" t="s">
        <v>18</v>
      </c>
      <c r="C8" s="239"/>
      <c r="D8" s="27"/>
    </row>
    <row r="9" spans="1:4" ht="31" x14ac:dyDescent="0.35">
      <c r="A9" s="236" t="s">
        <v>19</v>
      </c>
      <c r="B9" s="238" t="s">
        <v>5</v>
      </c>
      <c r="C9" s="239"/>
      <c r="D9" s="234" t="s">
        <v>20</v>
      </c>
    </row>
    <row r="10" spans="1:4" x14ac:dyDescent="0.35">
      <c r="A10" s="236" t="s">
        <v>21</v>
      </c>
      <c r="B10" s="238" t="s">
        <v>5</v>
      </c>
      <c r="C10" s="239"/>
      <c r="D10" s="234" t="s">
        <v>22</v>
      </c>
    </row>
    <row r="11" spans="1:4" ht="31" x14ac:dyDescent="0.35">
      <c r="A11" s="236" t="s">
        <v>23</v>
      </c>
      <c r="B11" s="238" t="s">
        <v>5</v>
      </c>
      <c r="C11" s="239"/>
      <c r="D11" s="234" t="s">
        <v>24</v>
      </c>
    </row>
    <row r="12" spans="1:4" x14ac:dyDescent="0.35">
      <c r="A12" s="235"/>
      <c r="C12" s="239"/>
    </row>
    <row r="13" spans="1:4" x14ac:dyDescent="0.35">
      <c r="A13" s="241" t="s">
        <v>25</v>
      </c>
      <c r="C13" s="239"/>
      <c r="D13" s="27"/>
    </row>
    <row r="14" spans="1:4" ht="31" x14ac:dyDescent="0.35">
      <c r="A14" s="236" t="s">
        <v>26</v>
      </c>
      <c r="B14" s="238" t="s">
        <v>5</v>
      </c>
      <c r="C14" s="239"/>
      <c r="D14" s="234" t="s">
        <v>27</v>
      </c>
    </row>
    <row r="15" spans="1:4" x14ac:dyDescent="0.35">
      <c r="A15" s="236" t="s">
        <v>28</v>
      </c>
      <c r="B15" s="238" t="s">
        <v>5</v>
      </c>
      <c r="C15" s="239"/>
      <c r="D15" s="234" t="s">
        <v>29</v>
      </c>
    </row>
    <row r="16" spans="1:4" ht="31" x14ac:dyDescent="0.35">
      <c r="A16" s="236" t="s">
        <v>30</v>
      </c>
      <c r="B16" s="238" t="s">
        <v>5</v>
      </c>
      <c r="C16" s="239"/>
      <c r="D16" s="234" t="s">
        <v>31</v>
      </c>
    </row>
    <row r="17" spans="1:4" x14ac:dyDescent="0.35">
      <c r="A17" s="236" t="s">
        <v>32</v>
      </c>
      <c r="B17" s="238" t="s">
        <v>5</v>
      </c>
      <c r="C17" s="239" t="s">
        <v>33</v>
      </c>
      <c r="D17" s="234" t="s">
        <v>34</v>
      </c>
    </row>
    <row r="18" spans="1:4" x14ac:dyDescent="0.35">
      <c r="A18" s="236" t="s">
        <v>35</v>
      </c>
      <c r="B18" s="238" t="s">
        <v>5</v>
      </c>
      <c r="C18" s="239" t="s">
        <v>36</v>
      </c>
      <c r="D18" s="234" t="s">
        <v>37</v>
      </c>
    </row>
    <row r="19" spans="1:4" x14ac:dyDescent="0.35">
      <c r="A19" s="235"/>
      <c r="C19" s="239"/>
    </row>
    <row r="20" spans="1:4" x14ac:dyDescent="0.35">
      <c r="A20" s="241" t="s">
        <v>38</v>
      </c>
      <c r="C20" s="239"/>
      <c r="D20" s="27"/>
    </row>
    <row r="21" spans="1:4" ht="31" x14ac:dyDescent="0.35">
      <c r="A21" s="236" t="s">
        <v>39</v>
      </c>
      <c r="B21" s="238" t="s">
        <v>5</v>
      </c>
      <c r="C21" s="239"/>
      <c r="D21" s="234" t="s">
        <v>40</v>
      </c>
    </row>
    <row r="22" spans="1:4" x14ac:dyDescent="0.35">
      <c r="A22" s="236" t="s">
        <v>41</v>
      </c>
      <c r="B22" s="238" t="s">
        <v>5</v>
      </c>
      <c r="C22" s="239"/>
      <c r="D22" s="234" t="s">
        <v>42</v>
      </c>
    </row>
    <row r="23" spans="1:4" ht="31" x14ac:dyDescent="0.35">
      <c r="A23" s="236" t="s">
        <v>43</v>
      </c>
      <c r="B23" s="238" t="s">
        <v>5</v>
      </c>
      <c r="C23" s="239"/>
      <c r="D23" s="234" t="s">
        <v>44</v>
      </c>
    </row>
    <row r="24" spans="1:4" x14ac:dyDescent="0.35">
      <c r="A24" s="236" t="s">
        <v>45</v>
      </c>
      <c r="B24" s="238" t="s">
        <v>5</v>
      </c>
      <c r="C24" s="239" t="s">
        <v>36</v>
      </c>
      <c r="D24" s="234" t="s">
        <v>46</v>
      </c>
    </row>
    <row r="25" spans="1:4" x14ac:dyDescent="0.35">
      <c r="A25" s="235"/>
      <c r="C25" s="239"/>
    </row>
    <row r="26" spans="1:4" x14ac:dyDescent="0.35">
      <c r="A26" s="241" t="s">
        <v>47</v>
      </c>
      <c r="C26" s="239"/>
      <c r="D26" s="27"/>
    </row>
    <row r="27" spans="1:4" x14ac:dyDescent="0.35">
      <c r="A27" s="235"/>
      <c r="C27" s="239"/>
    </row>
    <row r="28" spans="1:4" ht="31" x14ac:dyDescent="0.35">
      <c r="A28" s="235" t="s">
        <v>48</v>
      </c>
      <c r="B28" s="238" t="s">
        <v>5</v>
      </c>
      <c r="C28" s="239"/>
      <c r="D28" s="234" t="s">
        <v>49</v>
      </c>
    </row>
    <row r="29" spans="1:4" x14ac:dyDescent="0.35">
      <c r="A29" s="235" t="s">
        <v>50</v>
      </c>
      <c r="B29" s="238" t="s">
        <v>5</v>
      </c>
      <c r="C29" s="239"/>
      <c r="D29" s="234" t="s">
        <v>51</v>
      </c>
    </row>
    <row r="30" spans="1:4" ht="31" x14ac:dyDescent="0.35">
      <c r="A30" s="235" t="s">
        <v>52</v>
      </c>
      <c r="B30" s="238" t="s">
        <v>5</v>
      </c>
      <c r="C30" s="239"/>
      <c r="D30" s="234" t="s">
        <v>53</v>
      </c>
    </row>
    <row r="31" spans="1:4" x14ac:dyDescent="0.35">
      <c r="A31" s="235"/>
      <c r="C31" s="239"/>
    </row>
    <row r="32" spans="1:4" x14ac:dyDescent="0.35">
      <c r="A32" s="241" t="s">
        <v>54</v>
      </c>
      <c r="C32" s="239"/>
      <c r="D32" s="27"/>
    </row>
    <row r="33" spans="1:4" x14ac:dyDescent="0.35">
      <c r="A33" s="235" t="s">
        <v>55</v>
      </c>
      <c r="B33" s="238" t="s">
        <v>5</v>
      </c>
      <c r="C33" s="239" t="s">
        <v>56</v>
      </c>
      <c r="D33" s="234" t="s">
        <v>57</v>
      </c>
    </row>
    <row r="34" spans="1:4" x14ac:dyDescent="0.35">
      <c r="A34" s="235" t="s">
        <v>58</v>
      </c>
      <c r="B34" s="238" t="s">
        <v>5</v>
      </c>
      <c r="C34" s="239" t="s">
        <v>59</v>
      </c>
      <c r="D34" s="234" t="s">
        <v>60</v>
      </c>
    </row>
    <row r="35" spans="1:4" x14ac:dyDescent="0.35">
      <c r="A35" s="235" t="s">
        <v>61</v>
      </c>
      <c r="B35" s="238" t="s">
        <v>5</v>
      </c>
      <c r="C35" s="239" t="s">
        <v>59</v>
      </c>
      <c r="D35" s="234" t="s">
        <v>62</v>
      </c>
    </row>
    <row r="36" spans="1:4" x14ac:dyDescent="0.35">
      <c r="A36" s="235" t="s">
        <v>63</v>
      </c>
      <c r="B36" s="238" t="s">
        <v>5</v>
      </c>
      <c r="C36" s="239" t="s">
        <v>59</v>
      </c>
      <c r="D36" s="234" t="s">
        <v>64</v>
      </c>
    </row>
    <row r="37" spans="1:4" x14ac:dyDescent="0.35">
      <c r="A37" s="235" t="s">
        <v>65</v>
      </c>
      <c r="B37" s="238" t="s">
        <v>5</v>
      </c>
      <c r="C37" s="239" t="s">
        <v>59</v>
      </c>
      <c r="D37" s="234" t="s">
        <v>66</v>
      </c>
    </row>
    <row r="38" spans="1:4" x14ac:dyDescent="0.35">
      <c r="A38" s="236" t="s">
        <v>67</v>
      </c>
      <c r="B38" s="238" t="s">
        <v>5</v>
      </c>
      <c r="C38" s="239" t="s">
        <v>68</v>
      </c>
      <c r="D38" s="234" t="s">
        <v>69</v>
      </c>
    </row>
    <row r="39" spans="1:4" x14ac:dyDescent="0.35">
      <c r="A39" s="236" t="s">
        <v>70</v>
      </c>
      <c r="B39" s="238" t="s">
        <v>5</v>
      </c>
      <c r="C39" s="239" t="s">
        <v>59</v>
      </c>
      <c r="D39" s="234" t="s">
        <v>71</v>
      </c>
    </row>
    <row r="40" spans="1:4" x14ac:dyDescent="0.35">
      <c r="A40" s="235" t="s">
        <v>72</v>
      </c>
      <c r="B40" s="238" t="s">
        <v>5</v>
      </c>
      <c r="C40" s="239" t="s">
        <v>59</v>
      </c>
      <c r="D40" s="234" t="s">
        <v>73</v>
      </c>
    </row>
    <row r="41" spans="1:4" x14ac:dyDescent="0.35">
      <c r="A41" s="235"/>
      <c r="C41" s="239"/>
    </row>
    <row r="42" spans="1:4" x14ac:dyDescent="0.35">
      <c r="A42" s="241" t="s">
        <v>74</v>
      </c>
      <c r="C42" s="239"/>
      <c r="D42" s="27"/>
    </row>
    <row r="43" spans="1:4" x14ac:dyDescent="0.35">
      <c r="A43" s="235" t="s">
        <v>75</v>
      </c>
      <c r="B43" s="238" t="s">
        <v>5</v>
      </c>
      <c r="C43" s="239" t="s">
        <v>56</v>
      </c>
      <c r="D43" s="234" t="s">
        <v>76</v>
      </c>
    </row>
    <row r="44" spans="1:4" x14ac:dyDescent="0.35">
      <c r="A44" s="235" t="s">
        <v>77</v>
      </c>
      <c r="B44" s="238" t="s">
        <v>5</v>
      </c>
      <c r="C44" s="239" t="s">
        <v>59</v>
      </c>
      <c r="D44" s="234" t="s">
        <v>60</v>
      </c>
    </row>
    <row r="45" spans="1:4" x14ac:dyDescent="0.35">
      <c r="A45" s="235" t="s">
        <v>78</v>
      </c>
      <c r="B45" s="239" t="s">
        <v>79</v>
      </c>
      <c r="C45" s="239" t="s">
        <v>59</v>
      </c>
      <c r="D45" s="234" t="s">
        <v>80</v>
      </c>
    </row>
    <row r="46" spans="1:4" x14ac:dyDescent="0.35">
      <c r="A46" s="235" t="s">
        <v>81</v>
      </c>
      <c r="B46" s="239" t="s">
        <v>79</v>
      </c>
      <c r="C46" s="239" t="s">
        <v>59</v>
      </c>
      <c r="D46" s="234" t="s">
        <v>82</v>
      </c>
    </row>
    <row r="47" spans="1:4" x14ac:dyDescent="0.35">
      <c r="A47" s="235" t="s">
        <v>83</v>
      </c>
      <c r="B47" s="239" t="s">
        <v>79</v>
      </c>
      <c r="C47" s="239" t="s">
        <v>59</v>
      </c>
      <c r="D47" s="234" t="s">
        <v>84</v>
      </c>
    </row>
    <row r="48" spans="1:4" x14ac:dyDescent="0.35">
      <c r="A48" s="235" t="s">
        <v>85</v>
      </c>
      <c r="B48" s="239" t="s">
        <v>79</v>
      </c>
      <c r="C48" s="239" t="s">
        <v>86</v>
      </c>
      <c r="D48" s="234" t="s">
        <v>87</v>
      </c>
    </row>
    <row r="49" spans="1:4" x14ac:dyDescent="0.35">
      <c r="A49" s="235" t="s">
        <v>88</v>
      </c>
      <c r="B49" s="239" t="s">
        <v>79</v>
      </c>
      <c r="C49" s="239" t="s">
        <v>59</v>
      </c>
      <c r="D49" s="234" t="s">
        <v>89</v>
      </c>
    </row>
    <row r="50" spans="1:4" x14ac:dyDescent="0.35">
      <c r="A50" s="235" t="s">
        <v>90</v>
      </c>
      <c r="B50" s="238" t="s">
        <v>5</v>
      </c>
      <c r="C50" s="239" t="s">
        <v>59</v>
      </c>
      <c r="D50" s="234" t="s">
        <v>91</v>
      </c>
    </row>
    <row r="51" spans="1:4" x14ac:dyDescent="0.35">
      <c r="A51" s="235"/>
      <c r="C51" s="239"/>
    </row>
    <row r="52" spans="1:4" x14ac:dyDescent="0.35">
      <c r="A52" s="241" t="s">
        <v>92</v>
      </c>
      <c r="C52" s="239"/>
      <c r="D52" s="27"/>
    </row>
    <row r="53" spans="1:4" x14ac:dyDescent="0.35">
      <c r="A53" s="235" t="s">
        <v>93</v>
      </c>
      <c r="C53" s="239" t="s">
        <v>59</v>
      </c>
      <c r="D53" s="234" t="s">
        <v>94</v>
      </c>
    </row>
    <row r="54" spans="1:4" ht="31" x14ac:dyDescent="0.35">
      <c r="A54" s="235" t="s">
        <v>95</v>
      </c>
      <c r="C54" s="239" t="s">
        <v>59</v>
      </c>
      <c r="D54" s="234" t="s">
        <v>96</v>
      </c>
    </row>
    <row r="55" spans="1:4" x14ac:dyDescent="0.35">
      <c r="A55" s="235" t="s">
        <v>97</v>
      </c>
      <c r="C55" s="239" t="s">
        <v>59</v>
      </c>
      <c r="D55" s="234" t="s">
        <v>98</v>
      </c>
    </row>
    <row r="56" spans="1:4" x14ac:dyDescent="0.35">
      <c r="A56" s="235" t="s">
        <v>99</v>
      </c>
      <c r="C56" s="239" t="s">
        <v>59</v>
      </c>
      <c r="D56" s="234" t="s">
        <v>100</v>
      </c>
    </row>
    <row r="57" spans="1:4" x14ac:dyDescent="0.35">
      <c r="A57" s="24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56F81-B83A-4428-93E2-C630AF121C79}">
  <sheetPr codeName="Sheet8">
    <pageSetUpPr fitToPage="1"/>
  </sheetPr>
  <dimension ref="A1:U33"/>
  <sheetViews>
    <sheetView zoomScaleNormal="100" zoomScaleSheetLayoutView="98" workbookViewId="0"/>
  </sheetViews>
  <sheetFormatPr defaultRowHeight="14.5" x14ac:dyDescent="0.35"/>
  <cols>
    <col min="1" max="1" width="65.7265625" bestFit="1" customWidth="1"/>
    <col min="2" max="7" width="5.1796875" hidden="1" customWidth="1"/>
    <col min="8" max="8" width="11.26953125" bestFit="1" customWidth="1"/>
    <col min="9" max="10" width="12.26953125" bestFit="1" customWidth="1"/>
    <col min="11" max="11" width="11.26953125" bestFit="1" customWidth="1"/>
    <col min="12" max="14" width="12.26953125" bestFit="1" customWidth="1"/>
    <col min="15" max="15" width="11.26953125" bestFit="1" customWidth="1"/>
    <col min="16" max="16" width="12.26953125" bestFit="1" customWidth="1"/>
    <col min="17" max="17" width="11.26953125" bestFit="1" customWidth="1"/>
    <col min="18" max="18" width="12.26953125" bestFit="1" customWidth="1"/>
    <col min="19" max="20" width="11.26953125" bestFit="1" customWidth="1"/>
    <col min="21" max="21" width="12.26953125" bestFit="1" customWidth="1"/>
  </cols>
  <sheetData>
    <row r="1" spans="1:21" ht="18.5" x14ac:dyDescent="0.45">
      <c r="U1" s="113" t="s">
        <v>145</v>
      </c>
    </row>
    <row r="2" spans="1:21" ht="18.5" x14ac:dyDescent="0.45">
      <c r="U2" s="113" t="s">
        <v>299</v>
      </c>
    </row>
    <row r="4" spans="1:21" ht="15.5" x14ac:dyDescent="0.35">
      <c r="A4" s="361" t="s">
        <v>109</v>
      </c>
      <c r="B4" s="362"/>
      <c r="C4" s="362"/>
      <c r="D4" s="362"/>
      <c r="E4" s="362"/>
      <c r="F4" s="362"/>
      <c r="G4" s="362"/>
      <c r="H4" s="362"/>
      <c r="I4" s="362"/>
      <c r="J4" s="362"/>
      <c r="K4" s="362"/>
      <c r="L4" s="362"/>
      <c r="M4" s="362"/>
      <c r="N4" s="362"/>
      <c r="O4" s="362"/>
      <c r="P4" s="362"/>
      <c r="Q4" s="362"/>
      <c r="R4" s="362"/>
      <c r="S4" s="362"/>
      <c r="T4" s="362"/>
      <c r="U4" s="362"/>
    </row>
    <row r="5" spans="1:21" ht="15.5" x14ac:dyDescent="0.35">
      <c r="A5" s="363" t="s">
        <v>147</v>
      </c>
      <c r="B5" s="362"/>
      <c r="C5" s="362"/>
      <c r="D5" s="362"/>
      <c r="E5" s="362"/>
      <c r="F5" s="362"/>
      <c r="G5" s="362"/>
      <c r="H5" s="362"/>
      <c r="I5" s="362"/>
      <c r="J5" s="362"/>
      <c r="K5" s="362"/>
      <c r="L5" s="362"/>
      <c r="M5" s="362"/>
      <c r="N5" s="362"/>
      <c r="O5" s="362"/>
      <c r="P5" s="362"/>
      <c r="Q5" s="362"/>
      <c r="R5" s="362"/>
      <c r="S5" s="362"/>
      <c r="T5" s="362"/>
      <c r="U5" s="362"/>
    </row>
    <row r="6" spans="1:21" ht="15.5" x14ac:dyDescent="0.35">
      <c r="A6" s="363" t="s">
        <v>300</v>
      </c>
      <c r="B6" s="362"/>
      <c r="C6" s="362"/>
      <c r="D6" s="362"/>
      <c r="E6" s="362"/>
      <c r="F6" s="362"/>
      <c r="G6" s="362"/>
      <c r="H6" s="362"/>
      <c r="I6" s="362"/>
      <c r="J6" s="362"/>
      <c r="K6" s="362"/>
      <c r="L6" s="362"/>
      <c r="M6" s="362"/>
      <c r="N6" s="362"/>
      <c r="O6" s="362"/>
      <c r="P6" s="362"/>
      <c r="Q6" s="362"/>
      <c r="R6" s="362"/>
      <c r="S6" s="362"/>
      <c r="T6" s="362"/>
      <c r="U6" s="362"/>
    </row>
    <row r="7" spans="1:21" ht="15" thickBot="1" x14ac:dyDescent="0.4"/>
    <row r="8" spans="1:21" ht="15" thickBot="1" x14ac:dyDescent="0.4">
      <c r="B8" s="364">
        <v>2023</v>
      </c>
      <c r="C8" s="365"/>
      <c r="D8" s="365"/>
      <c r="E8" s="365"/>
      <c r="F8" s="365"/>
      <c r="G8" s="365"/>
      <c r="H8" s="366">
        <v>2025</v>
      </c>
      <c r="I8" s="428"/>
      <c r="J8" s="428"/>
      <c r="K8" s="428"/>
      <c r="L8" s="428"/>
      <c r="M8" s="428"/>
      <c r="N8" s="367"/>
      <c r="O8" s="366">
        <v>2026</v>
      </c>
      <c r="P8" s="428"/>
      <c r="Q8" s="428"/>
      <c r="R8" s="428"/>
      <c r="S8" s="428"/>
      <c r="T8" s="367"/>
    </row>
    <row r="9" spans="1:21" ht="15" thickBot="1" x14ac:dyDescent="0.4">
      <c r="B9" s="368" t="s">
        <v>162</v>
      </c>
      <c r="C9" s="429" t="s">
        <v>163</v>
      </c>
      <c r="D9" s="429" t="s">
        <v>164</v>
      </c>
      <c r="E9" s="429" t="s">
        <v>165</v>
      </c>
      <c r="F9" s="429" t="s">
        <v>166</v>
      </c>
      <c r="G9" s="430" t="s">
        <v>167</v>
      </c>
      <c r="H9" s="368" t="s">
        <v>168</v>
      </c>
      <c r="I9" s="429" t="s">
        <v>169</v>
      </c>
      <c r="J9" s="429" t="s">
        <v>170</v>
      </c>
      <c r="K9" s="429" t="s">
        <v>171</v>
      </c>
      <c r="L9" s="429" t="s">
        <v>172</v>
      </c>
      <c r="M9" s="429" t="s">
        <v>173</v>
      </c>
      <c r="N9" s="369" t="s">
        <v>301</v>
      </c>
      <c r="O9" s="368" t="s">
        <v>162</v>
      </c>
      <c r="P9" s="429" t="s">
        <v>163</v>
      </c>
      <c r="Q9" s="429" t="s">
        <v>302</v>
      </c>
      <c r="R9" s="429" t="s">
        <v>303</v>
      </c>
      <c r="S9" s="429" t="s">
        <v>166</v>
      </c>
      <c r="T9" s="369" t="s">
        <v>304</v>
      </c>
      <c r="U9" s="370" t="s">
        <v>301</v>
      </c>
    </row>
    <row r="10" spans="1:21" ht="15" thickBot="1" x14ac:dyDescent="0.4">
      <c r="A10" s="431" t="s">
        <v>305</v>
      </c>
      <c r="H10" s="371"/>
      <c r="I10" s="432"/>
      <c r="J10" s="432"/>
      <c r="K10" s="432"/>
      <c r="L10" s="432"/>
      <c r="M10" s="432"/>
      <c r="N10" s="372"/>
      <c r="O10" s="371"/>
      <c r="P10" s="432"/>
      <c r="Q10" s="432"/>
      <c r="R10" s="432"/>
      <c r="S10" s="432"/>
      <c r="T10" s="372"/>
      <c r="U10" s="373"/>
    </row>
    <row r="11" spans="1:21" x14ac:dyDescent="0.35">
      <c r="A11" s="433" t="s">
        <v>306</v>
      </c>
      <c r="B11" s="374">
        <v>0</v>
      </c>
      <c r="C11" s="434">
        <v>0</v>
      </c>
      <c r="D11" s="434">
        <v>0</v>
      </c>
      <c r="E11" s="434">
        <v>0</v>
      </c>
      <c r="F11" s="434">
        <v>0</v>
      </c>
      <c r="G11" s="374">
        <v>0</v>
      </c>
      <c r="H11" s="375">
        <f>-'Reconciliation (EE&amp;C-1_p3)'!F43</f>
        <v>1640179.1100000003</v>
      </c>
      <c r="I11" s="376">
        <f>-'Reconciliation (EE&amp;C-1_p3)'!F44</f>
        <v>1515156.07</v>
      </c>
      <c r="J11" s="376">
        <f>-'Reconciliation (EE&amp;C-1_p3)'!F45</f>
        <v>1556866.8</v>
      </c>
      <c r="K11" s="376">
        <f>-'Reconciliation (EE&amp;C-1_p3)'!F46</f>
        <v>2030925.95</v>
      </c>
      <c r="L11" s="376">
        <f>-'Reconciliation (EE&amp;C-1_p3)'!F47</f>
        <v>1952091.5700000003</v>
      </c>
      <c r="M11" s="376">
        <f>-'Reconciliation (EE&amp;C-1_p3)'!F48</f>
        <v>1675586.3</v>
      </c>
      <c r="N11" s="377">
        <f>SUM(B11:M11)</f>
        <v>10370805.800000001</v>
      </c>
      <c r="O11" s="375">
        <f>-'Reconciliation (EE&amp;C-1_p3)'!F69</f>
        <v>1449925.45</v>
      </c>
      <c r="P11" s="376">
        <f>-'Reconciliation (EE&amp;C-1_p3)'!F70</f>
        <v>1626821.7999999998</v>
      </c>
      <c r="Q11" s="376">
        <f>-'Reconciliation (EE&amp;C-1_p3)'!F71</f>
        <v>1598796.61</v>
      </c>
      <c r="R11" s="376">
        <f>-'Reconciliation (EE&amp;C-1_p3)'!F72</f>
        <v>1765772.8199999998</v>
      </c>
      <c r="S11" s="376">
        <f>-'Reconciliation (EE&amp;C-1_p3)'!F73</f>
        <v>1620587.22</v>
      </c>
      <c r="T11" s="377">
        <f>-'Reconciliation (EE&amp;C-1_p3)'!F74</f>
        <v>1299832.2100000002</v>
      </c>
      <c r="U11" s="378">
        <f>SUM(O11:T11)</f>
        <v>9361736.1099999994</v>
      </c>
    </row>
    <row r="12" spans="1:21" ht="15" thickBot="1" x14ac:dyDescent="0.4">
      <c r="A12" s="9" t="s">
        <v>307</v>
      </c>
      <c r="B12" s="379">
        <v>0</v>
      </c>
      <c r="C12" s="380">
        <v>0</v>
      </c>
      <c r="D12" s="380">
        <v>0</v>
      </c>
      <c r="E12" s="380">
        <v>0</v>
      </c>
      <c r="F12" s="380">
        <v>0</v>
      </c>
      <c r="G12" s="379">
        <v>0</v>
      </c>
      <c r="H12" s="381">
        <f t="shared" ref="H12:M12" si="0">-H11</f>
        <v>-1640179.1100000003</v>
      </c>
      <c r="I12" s="382">
        <f t="shared" si="0"/>
        <v>-1515156.07</v>
      </c>
      <c r="J12" s="382">
        <f t="shared" si="0"/>
        <v>-1556866.8</v>
      </c>
      <c r="K12" s="382">
        <f t="shared" si="0"/>
        <v>-2030925.95</v>
      </c>
      <c r="L12" s="382">
        <f t="shared" si="0"/>
        <v>-1952091.5700000003</v>
      </c>
      <c r="M12" s="382">
        <f t="shared" si="0"/>
        <v>-1675586.3</v>
      </c>
      <c r="N12" s="383">
        <f>SUM(B12:M12)</f>
        <v>-10370805.800000001</v>
      </c>
      <c r="O12" s="381">
        <f t="shared" ref="O12:T12" si="1">-O11</f>
        <v>-1449925.45</v>
      </c>
      <c r="P12" s="382">
        <f t="shared" si="1"/>
        <v>-1626821.7999999998</v>
      </c>
      <c r="Q12" s="382">
        <f t="shared" si="1"/>
        <v>-1598796.61</v>
      </c>
      <c r="R12" s="382">
        <f t="shared" si="1"/>
        <v>-1765772.8199999998</v>
      </c>
      <c r="S12" s="382">
        <f t="shared" si="1"/>
        <v>-1620587.22</v>
      </c>
      <c r="T12" s="383">
        <f t="shared" si="1"/>
        <v>-1299832.2100000002</v>
      </c>
      <c r="U12" s="384">
        <f>SUM(O12:T12)</f>
        <v>-9361736.1099999994</v>
      </c>
    </row>
    <row r="13" spans="1:21" ht="15" thickBot="1" x14ac:dyDescent="0.4">
      <c r="A13" s="385"/>
      <c r="B13" s="75"/>
      <c r="C13" s="75"/>
      <c r="D13" s="75"/>
      <c r="E13" s="75"/>
      <c r="F13" s="75"/>
      <c r="G13" s="75"/>
      <c r="H13" s="371"/>
      <c r="I13" s="432"/>
      <c r="J13" s="432"/>
      <c r="K13" s="432"/>
      <c r="L13" s="432"/>
      <c r="M13" s="432"/>
      <c r="N13" s="372"/>
      <c r="O13" s="371"/>
      <c r="P13" s="432"/>
      <c r="Q13" s="432"/>
      <c r="R13" s="432"/>
      <c r="S13" s="432"/>
      <c r="T13" s="372"/>
      <c r="U13" s="373"/>
    </row>
    <row r="14" spans="1:21" ht="15" thickBot="1" x14ac:dyDescent="0.4">
      <c r="A14" s="257" t="s">
        <v>308</v>
      </c>
      <c r="B14" s="435"/>
      <c r="C14" s="435"/>
      <c r="D14" s="435"/>
      <c r="E14" s="435"/>
      <c r="F14" s="435"/>
      <c r="G14" s="435"/>
      <c r="H14" s="371"/>
      <c r="I14" s="432"/>
      <c r="J14" s="432"/>
      <c r="K14" s="432"/>
      <c r="L14" s="432"/>
      <c r="M14" s="432"/>
      <c r="N14" s="372"/>
      <c r="O14" s="371"/>
      <c r="P14" s="432"/>
      <c r="Q14" s="432"/>
      <c r="R14" s="432"/>
      <c r="S14" s="432"/>
      <c r="T14" s="372"/>
      <c r="U14" s="373"/>
    </row>
    <row r="15" spans="1:21" x14ac:dyDescent="0.35">
      <c r="A15" s="10" t="s">
        <v>309</v>
      </c>
      <c r="B15" s="386">
        <v>0</v>
      </c>
      <c r="C15" s="386">
        <v>0</v>
      </c>
      <c r="D15" s="386">
        <v>0</v>
      </c>
      <c r="E15" s="386">
        <v>0</v>
      </c>
      <c r="F15" s="386">
        <v>0</v>
      </c>
      <c r="G15" s="386">
        <v>0</v>
      </c>
      <c r="H15" s="375">
        <f>-'Reconciliation (EE&amp;C-1_p3)'!N43</f>
        <v>68644.600000000006</v>
      </c>
      <c r="I15" s="387">
        <f>-'Reconciliation (EE&amp;C-1_p3)'!N44</f>
        <v>71288.800000000003</v>
      </c>
      <c r="J15" s="387">
        <f>-'Reconciliation (EE&amp;C-1_p3)'!N45</f>
        <v>74710.33</v>
      </c>
      <c r="K15" s="387">
        <f>-'Reconciliation (EE&amp;C-1_p3)'!N46</f>
        <v>77241.16</v>
      </c>
      <c r="L15" s="387">
        <f>-'Reconciliation (EE&amp;C-1_p3)'!N47</f>
        <v>83182.720000000001</v>
      </c>
      <c r="M15" s="387">
        <f>-'Reconciliation (EE&amp;C-1_p3)'!N48</f>
        <v>86493.08</v>
      </c>
      <c r="N15" s="388">
        <f>SUM(B15:M15)</f>
        <v>461560.69</v>
      </c>
      <c r="O15" s="375">
        <f>-'Reconciliation (EE&amp;C-1_p3)'!N69</f>
        <v>92272.59</v>
      </c>
      <c r="P15" s="387">
        <f>-'Reconciliation (EE&amp;C-1_p3)'!N70</f>
        <v>96088.07</v>
      </c>
      <c r="Q15" s="387">
        <f>-'Reconciliation (EE&amp;C-1_p3)'!N71</f>
        <v>100088.17</v>
      </c>
      <c r="R15" s="387">
        <f>-'Reconciliation (EE&amp;C-1_p3)'!N72</f>
        <v>104260.58</v>
      </c>
      <c r="S15" s="387">
        <f>-'Reconciliation (EE&amp;C-1_p3)'!N73</f>
        <v>108460.01</v>
      </c>
      <c r="T15" s="388">
        <f>-'Reconciliation (EE&amp;C-1_p3)'!N74</f>
        <v>112081.63</v>
      </c>
      <c r="U15" s="378">
        <f>SUM(O15:T15)</f>
        <v>613251.05000000005</v>
      </c>
    </row>
    <row r="16" spans="1:21" x14ac:dyDescent="0.35">
      <c r="A16" s="11" t="s">
        <v>310</v>
      </c>
      <c r="B16" s="386">
        <v>0</v>
      </c>
      <c r="C16" s="386">
        <v>0</v>
      </c>
      <c r="D16" s="386">
        <v>0</v>
      </c>
      <c r="E16" s="386">
        <v>0</v>
      </c>
      <c r="F16" s="386">
        <v>0</v>
      </c>
      <c r="G16" s="386">
        <v>0</v>
      </c>
      <c r="H16" s="389">
        <f t="shared" ref="H16:T16" si="2">-H15</f>
        <v>-68644.600000000006</v>
      </c>
      <c r="I16" s="387">
        <f t="shared" si="2"/>
        <v>-71288.800000000003</v>
      </c>
      <c r="J16" s="387">
        <f t="shared" si="2"/>
        <v>-74710.33</v>
      </c>
      <c r="K16" s="387">
        <f t="shared" si="2"/>
        <v>-77241.16</v>
      </c>
      <c r="L16" s="387">
        <f t="shared" si="2"/>
        <v>-83182.720000000001</v>
      </c>
      <c r="M16" s="387">
        <f t="shared" si="2"/>
        <v>-86493.08</v>
      </c>
      <c r="N16" s="388">
        <f t="shared" si="2"/>
        <v>-461560.69</v>
      </c>
      <c r="O16" s="389">
        <f t="shared" si="2"/>
        <v>-92272.59</v>
      </c>
      <c r="P16" s="387">
        <f t="shared" si="2"/>
        <v>-96088.07</v>
      </c>
      <c r="Q16" s="387">
        <f t="shared" si="2"/>
        <v>-100088.17</v>
      </c>
      <c r="R16" s="387">
        <f t="shared" si="2"/>
        <v>-104260.58</v>
      </c>
      <c r="S16" s="387">
        <f t="shared" si="2"/>
        <v>-108460.01</v>
      </c>
      <c r="T16" s="388">
        <f t="shared" si="2"/>
        <v>-112081.63</v>
      </c>
      <c r="U16" s="390">
        <f>SUM(O16:T16)</f>
        <v>-613251.05000000005</v>
      </c>
    </row>
    <row r="17" spans="1:21" ht="15" thickBot="1" x14ac:dyDescent="0.4">
      <c r="A17" s="9" t="s">
        <v>311</v>
      </c>
      <c r="B17" s="391">
        <v>0</v>
      </c>
      <c r="C17" s="391">
        <v>0</v>
      </c>
      <c r="D17" s="391">
        <v>0</v>
      </c>
      <c r="E17" s="391">
        <v>0</v>
      </c>
      <c r="F17" s="391">
        <v>0</v>
      </c>
      <c r="G17" s="391">
        <v>0</v>
      </c>
      <c r="H17" s="392"/>
      <c r="I17" s="393"/>
      <c r="J17" s="393"/>
      <c r="K17" s="393"/>
      <c r="L17" s="393"/>
      <c r="M17" s="393"/>
      <c r="N17" s="394"/>
      <c r="O17" s="392"/>
      <c r="P17" s="393"/>
      <c r="Q17" s="393"/>
      <c r="R17" s="393"/>
      <c r="S17" s="393"/>
      <c r="T17" s="394"/>
      <c r="U17" s="395"/>
    </row>
    <row r="18" spans="1:21" ht="15" thickBot="1" x14ac:dyDescent="0.4">
      <c r="A18" s="385"/>
      <c r="B18" s="75"/>
      <c r="C18" s="75"/>
      <c r="D18" s="75"/>
      <c r="E18" s="75"/>
      <c r="F18" s="75"/>
      <c r="G18" s="75"/>
      <c r="H18" s="371"/>
      <c r="I18" s="432"/>
      <c r="J18" s="432"/>
      <c r="K18" s="432"/>
      <c r="L18" s="432"/>
      <c r="M18" s="432"/>
      <c r="N18" s="372"/>
      <c r="O18" s="371"/>
      <c r="P18" s="432"/>
      <c r="Q18" s="432"/>
      <c r="R18" s="432"/>
      <c r="S18" s="432"/>
      <c r="T18" s="372"/>
      <c r="U18" s="373"/>
    </row>
    <row r="19" spans="1:21" ht="15" thickBot="1" x14ac:dyDescent="0.4">
      <c r="A19" s="257" t="s">
        <v>312</v>
      </c>
      <c r="B19" s="435"/>
      <c r="C19" s="435"/>
      <c r="D19" s="435"/>
      <c r="E19" s="435"/>
      <c r="F19" s="435"/>
      <c r="G19" s="435"/>
      <c r="H19" s="371"/>
      <c r="I19" s="432"/>
      <c r="J19" s="432"/>
      <c r="K19" s="432"/>
      <c r="L19" s="432"/>
      <c r="M19" s="432"/>
      <c r="N19" s="372"/>
      <c r="O19" s="371"/>
      <c r="P19" s="432"/>
      <c r="Q19" s="432"/>
      <c r="R19" s="432"/>
      <c r="S19" s="432"/>
      <c r="T19" s="372"/>
      <c r="U19" s="373"/>
    </row>
    <row r="20" spans="1:21" x14ac:dyDescent="0.35">
      <c r="A20" s="11" t="s">
        <v>313</v>
      </c>
      <c r="B20" s="396">
        <v>0</v>
      </c>
      <c r="C20" s="291">
        <v>0</v>
      </c>
      <c r="D20" s="291">
        <v>0</v>
      </c>
      <c r="E20" s="291">
        <v>0</v>
      </c>
      <c r="F20" s="291">
        <v>0</v>
      </c>
      <c r="G20" s="396">
        <v>0</v>
      </c>
      <c r="H20" s="375">
        <f>'Monthly Revenue Req.(EE&amp;C-1_p2)'!C52</f>
        <v>852332.44000000029</v>
      </c>
      <c r="I20" s="397">
        <f>'Monthly Revenue Req.(EE&amp;C-1_p2)'!C53</f>
        <v>-1355063.6599999997</v>
      </c>
      <c r="J20" s="397">
        <f>'Monthly Revenue Req.(EE&amp;C-1_p2)'!C54</f>
        <v>-7613661.2999999998</v>
      </c>
      <c r="K20" s="397">
        <f>'Monthly Revenue Req.(EE&amp;C-1_p2)'!C55</f>
        <v>-8293.2200000000012</v>
      </c>
      <c r="L20" s="397">
        <f>'Monthly Revenue Req.(EE&amp;C-1_p2)'!C56</f>
        <v>-1174171.1399999997</v>
      </c>
      <c r="M20" s="397">
        <f>'Monthly Revenue Req.(EE&amp;C-1_p2)'!C57</f>
        <v>-756184.30999999994</v>
      </c>
      <c r="N20" s="398">
        <f>SUM(B20:M20)</f>
        <v>-10055041.189999999</v>
      </c>
      <c r="O20" s="375">
        <f>'Monthly Revenue Req.(EE&amp;C-1_p2)'!C70</f>
        <v>0</v>
      </c>
      <c r="P20" s="397">
        <f>'Monthly Revenue Req.(EE&amp;C-1_p2)'!C71</f>
        <v>0</v>
      </c>
      <c r="Q20" s="397">
        <f>'Monthly Revenue Req.(EE&amp;C-1_p2)'!C72</f>
        <v>0</v>
      </c>
      <c r="R20" s="397">
        <f>'Monthly Revenue Req.(EE&amp;C-1_p2)'!C73</f>
        <v>0</v>
      </c>
      <c r="S20" s="397">
        <f>'Monthly Revenue Req.(EE&amp;C-1_p2)'!C74</f>
        <v>0</v>
      </c>
      <c r="T20" s="398">
        <f>'Monthly Revenue Req.(EE&amp;C-1_p2)'!C75</f>
        <v>0</v>
      </c>
      <c r="U20" s="378">
        <f>SUM(O20:T20)</f>
        <v>0</v>
      </c>
    </row>
    <row r="21" spans="1:21" ht="15" thickBot="1" x14ac:dyDescent="0.4">
      <c r="A21" s="9" t="s">
        <v>314</v>
      </c>
      <c r="B21" s="379">
        <v>0</v>
      </c>
      <c r="C21" s="380">
        <v>0</v>
      </c>
      <c r="D21" s="380">
        <v>0</v>
      </c>
      <c r="E21" s="380">
        <v>0</v>
      </c>
      <c r="F21" s="380">
        <v>0</v>
      </c>
      <c r="G21" s="379">
        <v>0</v>
      </c>
      <c r="H21" s="392">
        <f t="shared" ref="H21:M21" si="3">-H20</f>
        <v>-852332.44000000029</v>
      </c>
      <c r="I21" s="382">
        <f t="shared" si="3"/>
        <v>1355063.6599999997</v>
      </c>
      <c r="J21" s="382">
        <f t="shared" si="3"/>
        <v>7613661.2999999998</v>
      </c>
      <c r="K21" s="382">
        <f t="shared" si="3"/>
        <v>8293.2200000000012</v>
      </c>
      <c r="L21" s="382">
        <f t="shared" si="3"/>
        <v>1174171.1399999997</v>
      </c>
      <c r="M21" s="382">
        <f t="shared" si="3"/>
        <v>756184.30999999994</v>
      </c>
      <c r="N21" s="383">
        <f>SUM(B21:M21)</f>
        <v>10055041.189999999</v>
      </c>
      <c r="O21" s="392">
        <f t="shared" ref="O21:T21" si="4">-O20</f>
        <v>0</v>
      </c>
      <c r="P21" s="382">
        <f t="shared" si="4"/>
        <v>0</v>
      </c>
      <c r="Q21" s="382">
        <f t="shared" si="4"/>
        <v>0</v>
      </c>
      <c r="R21" s="382">
        <f t="shared" si="4"/>
        <v>0</v>
      </c>
      <c r="S21" s="382">
        <f t="shared" si="4"/>
        <v>0</v>
      </c>
      <c r="T21" s="383">
        <f t="shared" si="4"/>
        <v>0</v>
      </c>
      <c r="U21" s="395">
        <f>SUM(O21:T21)</f>
        <v>0</v>
      </c>
    </row>
    <row r="22" spans="1:21" ht="15" thickBot="1" x14ac:dyDescent="0.4">
      <c r="A22" s="385"/>
      <c r="B22" s="75"/>
      <c r="C22" s="75"/>
      <c r="D22" s="75"/>
      <c r="E22" s="75"/>
      <c r="F22" s="75"/>
      <c r="G22" s="75"/>
      <c r="H22" s="371"/>
      <c r="I22" s="432"/>
      <c r="J22" s="432"/>
      <c r="K22" s="432"/>
      <c r="L22" s="432"/>
      <c r="M22" s="432"/>
      <c r="N22" s="372"/>
      <c r="O22" s="371"/>
      <c r="P22" s="432"/>
      <c r="Q22" s="432"/>
      <c r="R22" s="432"/>
      <c r="S22" s="432"/>
      <c r="T22" s="372"/>
      <c r="U22" s="373"/>
    </row>
    <row r="23" spans="1:21" ht="15" thickBot="1" x14ac:dyDescent="0.4">
      <c r="A23" s="257" t="s">
        <v>315</v>
      </c>
      <c r="B23" s="435"/>
      <c r="C23" s="435"/>
      <c r="D23" s="435"/>
      <c r="E23" s="435"/>
      <c r="F23" s="435"/>
      <c r="G23" s="435"/>
      <c r="H23" s="371"/>
      <c r="I23" s="432"/>
      <c r="J23" s="432"/>
      <c r="K23" s="432"/>
      <c r="L23" s="432"/>
      <c r="M23" s="432"/>
      <c r="N23" s="372"/>
      <c r="O23" s="371"/>
      <c r="P23" s="432"/>
      <c r="Q23" s="432"/>
      <c r="R23" s="432"/>
      <c r="S23" s="432"/>
      <c r="T23" s="372"/>
      <c r="U23" s="373"/>
    </row>
    <row r="24" spans="1:21" x14ac:dyDescent="0.35">
      <c r="A24" s="11" t="s">
        <v>313</v>
      </c>
      <c r="B24" s="396">
        <v>0</v>
      </c>
      <c r="C24" s="291">
        <v>0</v>
      </c>
      <c r="D24" s="291">
        <v>0</v>
      </c>
      <c r="E24" s="291">
        <v>0</v>
      </c>
      <c r="F24" s="291">
        <v>0</v>
      </c>
      <c r="G24" s="396">
        <v>0</v>
      </c>
      <c r="H24" s="375">
        <f>'Monthly Revenue Req.(EE&amp;C-1_p2)'!F52</f>
        <v>102962.92</v>
      </c>
      <c r="I24" s="397">
        <f>'Monthly Revenue Req.(EE&amp;C-1_p2)'!F53</f>
        <v>175556.87</v>
      </c>
      <c r="J24" s="397">
        <f>'Monthly Revenue Req.(EE&amp;C-1_p2)'!F54</f>
        <v>93469.58</v>
      </c>
      <c r="K24" s="397">
        <f>'Monthly Revenue Req.(EE&amp;C-1_p2)'!F55</f>
        <v>0</v>
      </c>
      <c r="L24" s="397">
        <f>'Monthly Revenue Req.(EE&amp;C-1_p2)'!F56</f>
        <v>2464.21</v>
      </c>
      <c r="M24" s="397">
        <f>'Monthly Revenue Req.(EE&amp;C-1_p2)'!F57</f>
        <v>0</v>
      </c>
      <c r="N24" s="398">
        <f>SUM(B24:M24)</f>
        <v>374453.58</v>
      </c>
      <c r="O24" s="375">
        <f>'Monthly Revenue Req.(EE&amp;C-1_p2)'!F70</f>
        <v>0</v>
      </c>
      <c r="P24" s="397">
        <f>'Monthly Revenue Req.(EE&amp;C-1_p2)'!F71</f>
        <v>0</v>
      </c>
      <c r="Q24" s="397">
        <f>'Monthly Revenue Req.(EE&amp;C-1_p2)'!F72</f>
        <v>0</v>
      </c>
      <c r="R24" s="397">
        <f>'Monthly Revenue Req.(EE&amp;C-1_p2)'!F73</f>
        <v>0</v>
      </c>
      <c r="S24" s="397">
        <f>'Monthly Revenue Req.(EE&amp;C-1_p2)'!F74</f>
        <v>0</v>
      </c>
      <c r="T24" s="398">
        <f>'Monthly Revenue Req.(EE&amp;C-1_p2)'!F75</f>
        <v>0</v>
      </c>
      <c r="U24" s="378">
        <f>SUM(O24:T24)</f>
        <v>0</v>
      </c>
    </row>
    <row r="25" spans="1:21" ht="15" thickBot="1" x14ac:dyDescent="0.4">
      <c r="A25" s="9" t="s">
        <v>314</v>
      </c>
      <c r="B25" s="379">
        <v>0</v>
      </c>
      <c r="C25" s="380">
        <v>0</v>
      </c>
      <c r="D25" s="380">
        <v>0</v>
      </c>
      <c r="E25" s="380">
        <v>0</v>
      </c>
      <c r="F25" s="380">
        <v>0</v>
      </c>
      <c r="G25" s="379">
        <v>0</v>
      </c>
      <c r="H25" s="381">
        <f t="shared" ref="H25:M25" si="5">-H24</f>
        <v>-102962.92</v>
      </c>
      <c r="I25" s="382">
        <f t="shared" si="5"/>
        <v>-175556.87</v>
      </c>
      <c r="J25" s="382">
        <f t="shared" si="5"/>
        <v>-93469.58</v>
      </c>
      <c r="K25" s="382">
        <f t="shared" si="5"/>
        <v>0</v>
      </c>
      <c r="L25" s="382">
        <f t="shared" si="5"/>
        <v>-2464.21</v>
      </c>
      <c r="M25" s="382">
        <f t="shared" si="5"/>
        <v>0</v>
      </c>
      <c r="N25" s="383">
        <f>SUM(B25:M25)</f>
        <v>-374453.58</v>
      </c>
      <c r="O25" s="381">
        <f t="shared" ref="O25:T25" si="6">-O24</f>
        <v>0</v>
      </c>
      <c r="P25" s="382">
        <f t="shared" si="6"/>
        <v>0</v>
      </c>
      <c r="Q25" s="382">
        <f t="shared" si="6"/>
        <v>0</v>
      </c>
      <c r="R25" s="382">
        <f t="shared" si="6"/>
        <v>0</v>
      </c>
      <c r="S25" s="382">
        <f t="shared" si="6"/>
        <v>0</v>
      </c>
      <c r="T25" s="383">
        <f t="shared" si="6"/>
        <v>0</v>
      </c>
      <c r="U25" s="384">
        <f>SUM(O25:T25)</f>
        <v>0</v>
      </c>
    </row>
    <row r="26" spans="1:21" ht="15" thickBot="1" x14ac:dyDescent="0.4">
      <c r="A26" s="399"/>
      <c r="B26" s="75"/>
      <c r="C26" s="75"/>
      <c r="D26" s="75"/>
      <c r="E26" s="75"/>
      <c r="F26" s="75"/>
      <c r="G26" s="75"/>
      <c r="H26" s="371"/>
      <c r="I26" s="432"/>
      <c r="J26" s="432"/>
      <c r="K26" s="432"/>
      <c r="L26" s="432"/>
      <c r="M26" s="432"/>
      <c r="N26" s="372"/>
      <c r="O26" s="371"/>
      <c r="P26" s="432"/>
      <c r="Q26" s="432"/>
      <c r="R26" s="432"/>
      <c r="S26" s="432"/>
      <c r="T26" s="372"/>
      <c r="U26" s="373"/>
    </row>
    <row r="27" spans="1:21" ht="15" thickBot="1" x14ac:dyDescent="0.4">
      <c r="A27" s="257" t="s">
        <v>316</v>
      </c>
      <c r="B27" s="435"/>
      <c r="C27" s="435"/>
      <c r="D27" s="435"/>
      <c r="E27" s="435"/>
      <c r="F27" s="435"/>
      <c r="G27" s="435"/>
      <c r="H27" s="371"/>
      <c r="I27" s="432"/>
      <c r="J27" s="432"/>
      <c r="K27" s="432"/>
      <c r="L27" s="432"/>
      <c r="M27" s="432"/>
      <c r="N27" s="372"/>
      <c r="O27" s="371"/>
      <c r="P27" s="432"/>
      <c r="Q27" s="432"/>
      <c r="R27" s="432"/>
      <c r="S27" s="432"/>
      <c r="T27" s="372"/>
      <c r="U27" s="373"/>
    </row>
    <row r="28" spans="1:21" x14ac:dyDescent="0.35">
      <c r="A28" s="11" t="s">
        <v>317</v>
      </c>
      <c r="B28" s="396">
        <v>0</v>
      </c>
      <c r="C28" s="291">
        <v>0</v>
      </c>
      <c r="D28" s="291">
        <v>0</v>
      </c>
      <c r="E28" s="291">
        <v>0</v>
      </c>
      <c r="F28" s="291">
        <v>0</v>
      </c>
      <c r="G28" s="396">
        <v>0</v>
      </c>
      <c r="H28" s="375">
        <f>-'Monthly Revenue Req.(EE&amp;C-1_p2)'!E52</f>
        <v>-2014701.37</v>
      </c>
      <c r="I28" s="397">
        <f>-'Monthly Revenue Req.(EE&amp;C-1_p2)'!E53</f>
        <v>-2003409.17</v>
      </c>
      <c r="J28" s="397">
        <f>-'Monthly Revenue Req.(EE&amp;C-1_p2)'!E54</f>
        <v>-1939961.99</v>
      </c>
      <c r="K28" s="397">
        <f>-'Monthly Revenue Req.(EE&amp;C-1_p2)'!E55</f>
        <v>-1939892.8800000001</v>
      </c>
      <c r="L28" s="397">
        <f>-'Monthly Revenue Req.(EE&amp;C-1_p2)'!E56</f>
        <v>-1930108.12</v>
      </c>
      <c r="M28" s="397">
        <f>-'Monthly Revenue Req.(EE&amp;C-1_p2)'!E57</f>
        <v>-1923806.58</v>
      </c>
      <c r="N28" s="398">
        <f>SUM(B28:M28)</f>
        <v>-11751880.110000001</v>
      </c>
      <c r="O28" s="375">
        <f>-'Monthly Revenue Req.(EE&amp;C-1_p2)'!E70</f>
        <v>-1923806.58</v>
      </c>
      <c r="P28" s="397">
        <f>-'Monthly Revenue Req.(EE&amp;C-1_p2)'!E71</f>
        <v>-1923806.58</v>
      </c>
      <c r="Q28" s="397">
        <f>-'Monthly Revenue Req.(EE&amp;C-1_p2)'!E72</f>
        <v>-1923806.58</v>
      </c>
      <c r="R28" s="397">
        <f>-'Monthly Revenue Req.(EE&amp;C-1_p2)'!E73</f>
        <v>-1923806.58</v>
      </c>
      <c r="S28" s="397">
        <f>-'Monthly Revenue Req.(EE&amp;C-1_p2)'!E74</f>
        <v>-1923806.58</v>
      </c>
      <c r="T28" s="397">
        <f>-'Monthly Revenue Req.(EE&amp;C-1_p2)'!E75</f>
        <v>-1923806.58</v>
      </c>
      <c r="U28" s="378">
        <f>SUM(O28:T28)</f>
        <v>-11542839.48</v>
      </c>
    </row>
    <row r="29" spans="1:21" ht="15" thickBot="1" x14ac:dyDescent="0.4">
      <c r="A29" s="9" t="s">
        <v>318</v>
      </c>
      <c r="B29" s="379">
        <v>0</v>
      </c>
      <c r="C29" s="380">
        <v>0</v>
      </c>
      <c r="D29" s="380">
        <v>0</v>
      </c>
      <c r="E29" s="380">
        <v>0</v>
      </c>
      <c r="F29" s="380">
        <v>0</v>
      </c>
      <c r="G29" s="379">
        <v>0</v>
      </c>
      <c r="H29" s="381">
        <f t="shared" ref="H29:M29" si="7">-H28</f>
        <v>2014701.37</v>
      </c>
      <c r="I29" s="382">
        <f t="shared" si="7"/>
        <v>2003409.17</v>
      </c>
      <c r="J29" s="382">
        <f t="shared" si="7"/>
        <v>1939961.99</v>
      </c>
      <c r="K29" s="382">
        <f t="shared" si="7"/>
        <v>1939892.8800000001</v>
      </c>
      <c r="L29" s="382">
        <f t="shared" si="7"/>
        <v>1930108.12</v>
      </c>
      <c r="M29" s="382">
        <f t="shared" si="7"/>
        <v>1923806.58</v>
      </c>
      <c r="N29" s="383">
        <f>SUM(B29:M29)</f>
        <v>11751880.110000001</v>
      </c>
      <c r="O29" s="381">
        <f t="shared" ref="O29:T29" si="8">-O28</f>
        <v>1923806.58</v>
      </c>
      <c r="P29" s="382">
        <f t="shared" si="8"/>
        <v>1923806.58</v>
      </c>
      <c r="Q29" s="382">
        <f t="shared" si="8"/>
        <v>1923806.58</v>
      </c>
      <c r="R29" s="382">
        <f t="shared" si="8"/>
        <v>1923806.58</v>
      </c>
      <c r="S29" s="382">
        <f t="shared" si="8"/>
        <v>1923806.58</v>
      </c>
      <c r="T29" s="383">
        <f t="shared" si="8"/>
        <v>1923806.58</v>
      </c>
      <c r="U29" s="384">
        <f>SUM(O29:T29)</f>
        <v>11542839.48</v>
      </c>
    </row>
    <row r="30" spans="1:21" ht="15" thickBot="1" x14ac:dyDescent="0.4">
      <c r="A30" s="385"/>
      <c r="B30" s="75"/>
      <c r="C30" s="75"/>
      <c r="D30" s="75"/>
      <c r="E30" s="75"/>
      <c r="F30" s="75"/>
      <c r="G30" s="75"/>
      <c r="H30" s="371"/>
      <c r="I30" s="432"/>
      <c r="J30" s="432"/>
      <c r="K30" s="432"/>
      <c r="L30" s="432"/>
      <c r="M30" s="432"/>
      <c r="N30" s="372"/>
      <c r="O30" s="371"/>
      <c r="P30" s="432"/>
      <c r="Q30" s="432"/>
      <c r="R30" s="432"/>
      <c r="S30" s="432"/>
      <c r="T30" s="372"/>
      <c r="U30" s="373"/>
    </row>
    <row r="31" spans="1:21" ht="15" thickBot="1" x14ac:dyDescent="0.4">
      <c r="A31" s="257" t="s">
        <v>319</v>
      </c>
      <c r="B31" s="435"/>
      <c r="C31" s="435"/>
      <c r="D31" s="435"/>
      <c r="E31" s="435"/>
      <c r="F31" s="435"/>
      <c r="G31" s="435"/>
      <c r="H31" s="371"/>
      <c r="I31" s="432"/>
      <c r="J31" s="432"/>
      <c r="K31" s="432"/>
      <c r="L31" s="432"/>
      <c r="M31" s="432"/>
      <c r="N31" s="372"/>
      <c r="O31" s="371"/>
      <c r="P31" s="432"/>
      <c r="Q31" s="432"/>
      <c r="R31" s="432"/>
      <c r="S31" s="432"/>
      <c r="T31" s="372"/>
      <c r="U31" s="373"/>
    </row>
    <row r="32" spans="1:21" x14ac:dyDescent="0.35">
      <c r="A32" s="11" t="s">
        <v>317</v>
      </c>
      <c r="B32" s="396">
        <v>0</v>
      </c>
      <c r="C32" s="291">
        <v>0</v>
      </c>
      <c r="D32" s="291">
        <v>0</v>
      </c>
      <c r="E32" s="291">
        <v>0</v>
      </c>
      <c r="F32" s="291">
        <v>0</v>
      </c>
      <c r="G32" s="396">
        <v>0</v>
      </c>
      <c r="H32" s="375">
        <f>-'Monthly Revenue Req.(EE&amp;C-1_p2)'!H52</f>
        <v>-452627.22</v>
      </c>
      <c r="I32" s="397">
        <f>-'Monthly Revenue Req.(EE&amp;C-1_p2)'!H53</f>
        <v>-401639.65999999992</v>
      </c>
      <c r="J32" s="397">
        <f>-'Monthly Revenue Req.(EE&amp;C-1_p2)'!H54</f>
        <v>-353123.72</v>
      </c>
      <c r="K32" s="397">
        <f>-'Monthly Revenue Req.(EE&amp;C-1_p2)'!H55</f>
        <v>-302547.28999999992</v>
      </c>
      <c r="L32" s="397">
        <f>-'Monthly Revenue Req.(EE&amp;C-1_p2)'!H56</f>
        <v>-234958.14000000013</v>
      </c>
      <c r="M32" s="397">
        <f>-'Monthly Revenue Req.(EE&amp;C-1_p2)'!H57</f>
        <v>-193460.38</v>
      </c>
      <c r="N32" s="398">
        <f>SUM(B32:M32)</f>
        <v>-1938356.4099999997</v>
      </c>
      <c r="O32" s="375">
        <f>-'Monthly Revenue Req.(EE&amp;C-1_p2)'!H70</f>
        <v>-149996.99</v>
      </c>
      <c r="P32" s="397">
        <f>-'Monthly Revenue Req.(EE&amp;C-1_p2)'!H71</f>
        <v>-112534.74</v>
      </c>
      <c r="Q32" s="397">
        <f>-'Monthly Revenue Req.(EE&amp;C-1_p2)'!H72</f>
        <v>-84114</v>
      </c>
      <c r="R32" s="397">
        <f>-'Monthly Revenue Req.(EE&amp;C-1_p2)'!H73</f>
        <v>-69138.14</v>
      </c>
      <c r="S32" s="397">
        <f>-'Monthly Revenue Req.(EE&amp;C-1_p2)'!H74</f>
        <v>-53603.13</v>
      </c>
      <c r="T32" s="398">
        <f>-'Monthly Revenue Req.(EE&amp;C-1_p2)'!H75</f>
        <v>-31204.47</v>
      </c>
      <c r="U32" s="378">
        <f>SUM(O32:T32)</f>
        <v>-500591.47</v>
      </c>
    </row>
    <row r="33" spans="1:21" ht="15" thickBot="1" x14ac:dyDescent="0.4">
      <c r="A33" s="9" t="s">
        <v>318</v>
      </c>
      <c r="B33" s="379">
        <v>0</v>
      </c>
      <c r="C33" s="380">
        <v>0</v>
      </c>
      <c r="D33" s="380">
        <v>0</v>
      </c>
      <c r="E33" s="380">
        <v>0</v>
      </c>
      <c r="F33" s="380">
        <v>0</v>
      </c>
      <c r="G33" s="379">
        <v>0</v>
      </c>
      <c r="H33" s="381">
        <f t="shared" ref="H33:M33" si="9">-H32</f>
        <v>452627.22</v>
      </c>
      <c r="I33" s="382">
        <f t="shared" si="9"/>
        <v>401639.65999999992</v>
      </c>
      <c r="J33" s="382">
        <f t="shared" si="9"/>
        <v>353123.72</v>
      </c>
      <c r="K33" s="382">
        <f t="shared" si="9"/>
        <v>302547.28999999992</v>
      </c>
      <c r="L33" s="382">
        <f t="shared" si="9"/>
        <v>234958.14000000013</v>
      </c>
      <c r="M33" s="382">
        <f t="shared" si="9"/>
        <v>193460.38</v>
      </c>
      <c r="N33" s="383">
        <f>SUM(B33:M33)</f>
        <v>1938356.4099999997</v>
      </c>
      <c r="O33" s="381">
        <f t="shared" ref="O33:T33" si="10">-O32</f>
        <v>149996.99</v>
      </c>
      <c r="P33" s="382">
        <f t="shared" si="10"/>
        <v>112534.74</v>
      </c>
      <c r="Q33" s="382">
        <f t="shared" si="10"/>
        <v>84114</v>
      </c>
      <c r="R33" s="382">
        <f t="shared" si="10"/>
        <v>69138.14</v>
      </c>
      <c r="S33" s="382">
        <f t="shared" si="10"/>
        <v>53603.13</v>
      </c>
      <c r="T33" s="383">
        <f t="shared" si="10"/>
        <v>31204.47</v>
      </c>
      <c r="U33" s="384">
        <f>SUM(O33:T33)</f>
        <v>500591.47</v>
      </c>
    </row>
  </sheetData>
  <phoneticPr fontId="9" type="noConversion"/>
  <printOptions horizontalCentered="1"/>
  <pageMargins left="0.1" right="0.1" top="0.75" bottom="0.5" header="0.3" footer="0.3"/>
  <pageSetup scale="5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911B5-4C2D-4EF3-A336-91CC2985D0D1}">
  <sheetPr codeName="Sheet9">
    <tabColor rgb="FFFFFF00"/>
    <pageSetUpPr fitToPage="1"/>
  </sheetPr>
  <dimension ref="A1:K41"/>
  <sheetViews>
    <sheetView showGridLines="0" view="pageBreakPreview" zoomScaleNormal="100" zoomScaleSheetLayoutView="100" workbookViewId="0"/>
  </sheetViews>
  <sheetFormatPr defaultRowHeight="14.5" x14ac:dyDescent="0.35"/>
  <cols>
    <col min="1" max="1" width="162.453125" customWidth="1"/>
    <col min="9" max="9" width="12" customWidth="1"/>
  </cols>
  <sheetData>
    <row r="1" spans="1:9" ht="18.5" x14ac:dyDescent="0.45">
      <c r="A1" s="113" t="s">
        <v>640</v>
      </c>
    </row>
    <row r="2" spans="1:9" ht="18.5" x14ac:dyDescent="0.45">
      <c r="A2" s="113" t="s">
        <v>641</v>
      </c>
    </row>
    <row r="4" spans="1:9" ht="18.5" x14ac:dyDescent="0.45">
      <c r="A4" s="116" t="s">
        <v>109</v>
      </c>
      <c r="B4" s="26"/>
      <c r="C4" s="26"/>
      <c r="D4" s="26"/>
      <c r="E4" s="26"/>
      <c r="F4" s="26"/>
      <c r="G4" s="26"/>
      <c r="H4" s="26"/>
      <c r="I4" s="26"/>
    </row>
    <row r="5" spans="1:9" ht="18.5" x14ac:dyDescent="0.45">
      <c r="A5" s="116" t="s">
        <v>685</v>
      </c>
      <c r="B5" s="26"/>
      <c r="C5" s="26"/>
      <c r="D5" s="26"/>
      <c r="E5" s="26"/>
      <c r="F5" s="26"/>
      <c r="G5" s="26"/>
      <c r="H5" s="26"/>
      <c r="I5" s="26"/>
    </row>
    <row r="6" spans="1:9" ht="18.5" x14ac:dyDescent="0.45">
      <c r="A6" s="116" t="s">
        <v>115</v>
      </c>
      <c r="B6" s="26"/>
      <c r="C6" s="26"/>
      <c r="D6" s="26"/>
      <c r="E6" s="26"/>
      <c r="F6" s="26"/>
      <c r="G6" s="26"/>
      <c r="H6" s="26"/>
      <c r="I6" s="26"/>
    </row>
    <row r="7" spans="1:9" ht="18.5" x14ac:dyDescent="0.45">
      <c r="A7" s="116" t="s">
        <v>117</v>
      </c>
    </row>
    <row r="12" spans="1:9" ht="18.5" x14ac:dyDescent="0.45">
      <c r="B12" s="114"/>
      <c r="C12" s="115"/>
      <c r="D12" s="115"/>
      <c r="E12" s="115"/>
      <c r="F12" s="115"/>
      <c r="G12" s="115"/>
    </row>
    <row r="15" spans="1:9" ht="21" x14ac:dyDescent="0.5">
      <c r="A15" s="131"/>
    </row>
    <row r="19" spans="1:1" x14ac:dyDescent="0.35">
      <c r="A19" s="2"/>
    </row>
    <row r="34" spans="1:11" x14ac:dyDescent="0.35">
      <c r="K34" s="18" t="s">
        <v>320</v>
      </c>
    </row>
    <row r="40" spans="1:11" ht="22.5" customHeight="1" x14ac:dyDescent="0.35"/>
    <row r="41" spans="1:11" x14ac:dyDescent="0.35">
      <c r="A41" s="18" t="s">
        <v>320</v>
      </c>
    </row>
  </sheetData>
  <printOptions horizontalCentered="1"/>
  <pageMargins left="0.25" right="0.25" top="0.75" bottom="0.5" header="0.3" footer="0.3"/>
  <pageSetup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F58A-66A8-4965-9B83-5947B8F9EF22}">
  <sheetPr codeName="Sheet10"/>
  <dimension ref="A1:S143"/>
  <sheetViews>
    <sheetView zoomScaleNormal="100" workbookViewId="0">
      <pane xSplit="2" ySplit="2" topLeftCell="C3" activePane="bottomRight" state="frozen"/>
      <selection pane="topRight" activeCell="C1" sqref="C1"/>
      <selection pane="bottomLeft" activeCell="A3" sqref="A3"/>
      <selection pane="bottomRight" activeCell="E35" sqref="E35"/>
    </sheetView>
  </sheetViews>
  <sheetFormatPr defaultRowHeight="14.5" x14ac:dyDescent="0.35"/>
  <cols>
    <col min="1" max="1" width="7.81640625" bestFit="1" customWidth="1"/>
    <col min="2" max="2" width="20.7265625" bestFit="1" customWidth="1"/>
    <col min="3" max="3" width="11.453125" bestFit="1" customWidth="1"/>
    <col min="4" max="5" width="14.54296875" bestFit="1" customWidth="1"/>
    <col min="7" max="8" width="6" customWidth="1"/>
    <col min="9" max="9" width="12.26953125" bestFit="1" customWidth="1"/>
    <col min="10" max="10" width="13.54296875" bestFit="1" customWidth="1"/>
    <col min="11" max="11" width="12.54296875" bestFit="1" customWidth="1"/>
    <col min="12" max="12" width="14.453125" bestFit="1" customWidth="1"/>
    <col min="13" max="13" width="13.81640625" bestFit="1" customWidth="1"/>
    <col min="14" max="14" width="15.26953125" bestFit="1" customWidth="1"/>
    <col min="15" max="15" width="12.81640625" bestFit="1" customWidth="1"/>
    <col min="16" max="16" width="14.453125" bestFit="1" customWidth="1"/>
    <col min="17" max="17" width="6.1796875" bestFit="1" customWidth="1"/>
    <col min="18" max="19" width="15.26953125" bestFit="1" customWidth="1"/>
  </cols>
  <sheetData>
    <row r="1" spans="1:19" ht="36.5" thickBot="1" x14ac:dyDescent="0.4">
      <c r="A1" s="258" t="s">
        <v>321</v>
      </c>
      <c r="B1" s="259" t="s">
        <v>322</v>
      </c>
      <c r="C1" s="546" t="s">
        <v>323</v>
      </c>
      <c r="E1" s="546" t="s">
        <v>324</v>
      </c>
      <c r="I1" s="260" t="s">
        <v>325</v>
      </c>
      <c r="J1" s="260" t="s">
        <v>326</v>
      </c>
      <c r="K1" s="260" t="s">
        <v>327</v>
      </c>
      <c r="L1" s="260" t="s">
        <v>328</v>
      </c>
      <c r="M1" s="260" t="s">
        <v>329</v>
      </c>
      <c r="N1" s="260" t="s">
        <v>330</v>
      </c>
      <c r="O1" s="260" t="s">
        <v>331</v>
      </c>
      <c r="P1" s="260" t="s">
        <v>332</v>
      </c>
    </row>
    <row r="2" spans="1:19" ht="15" thickBot="1" x14ac:dyDescent="0.4">
      <c r="A2" s="259"/>
      <c r="B2" s="259"/>
      <c r="C2" s="547"/>
      <c r="E2" s="547" t="s">
        <v>333</v>
      </c>
      <c r="G2" s="260" t="s">
        <v>334</v>
      </c>
      <c r="H2" s="260" t="s">
        <v>156</v>
      </c>
      <c r="I2" s="261">
        <v>6.9999999999999999E-6</v>
      </c>
      <c r="J2" s="261">
        <v>1.9650000000000002E-3</v>
      </c>
      <c r="K2" s="261">
        <v>2.5399999999999999E-4</v>
      </c>
      <c r="L2" s="261">
        <v>0</v>
      </c>
      <c r="M2" s="261">
        <f>+I2+J2+K2+L2</f>
        <v>2.2260000000000001E-3</v>
      </c>
      <c r="N2" s="261">
        <v>9.2900000000000003E-4</v>
      </c>
      <c r="O2" s="261">
        <v>1.2800000000000001E-3</v>
      </c>
      <c r="P2" s="261">
        <f>SUM(M2:O2)</f>
        <v>4.4350000000000006E-3</v>
      </c>
    </row>
    <row r="3" spans="1:19" x14ac:dyDescent="0.35">
      <c r="A3" s="144" t="s">
        <v>335</v>
      </c>
      <c r="B3" s="144" t="s">
        <v>336</v>
      </c>
      <c r="C3" s="145">
        <v>1759000773.5293355</v>
      </c>
      <c r="G3" s="262" t="s">
        <v>162</v>
      </c>
      <c r="H3" s="263">
        <v>2025</v>
      </c>
      <c r="I3" s="264">
        <f>ROUND(I$2*$C3,2)</f>
        <v>12313.01</v>
      </c>
      <c r="J3" s="264">
        <f>ROUND(J$2*$C3,2)</f>
        <v>3456436.52</v>
      </c>
      <c r="K3" s="264">
        <f>ROUND(K$2*$C3,2)</f>
        <v>446786.2</v>
      </c>
      <c r="L3" s="264">
        <f>ROUND(L$2*$C3,2)</f>
        <v>0</v>
      </c>
      <c r="M3" s="264">
        <f>SUM(I3:L3)</f>
        <v>3915535.73</v>
      </c>
      <c r="N3" s="264">
        <f t="shared" ref="N3:O21" si="0">ROUND(N$2*$C3,2)</f>
        <v>1634111.72</v>
      </c>
      <c r="O3" s="264">
        <f t="shared" si="0"/>
        <v>2251520.9900000002</v>
      </c>
      <c r="P3" s="264">
        <f>+M3+N3+O3</f>
        <v>7801168.4400000004</v>
      </c>
    </row>
    <row r="4" spans="1:19" x14ac:dyDescent="0.35">
      <c r="A4" s="144" t="s">
        <v>335</v>
      </c>
      <c r="B4" s="144" t="s">
        <v>337</v>
      </c>
      <c r="C4" s="145">
        <v>1518430809.3218429</v>
      </c>
      <c r="G4" s="135" t="s">
        <v>163</v>
      </c>
      <c r="H4" s="136">
        <f t="shared" ref="H4:H14" si="1">+H3</f>
        <v>2025</v>
      </c>
      <c r="I4" s="137">
        <f t="shared" ref="I4:L21" si="2">ROUND(I$2*$C4,2)</f>
        <v>10629.02</v>
      </c>
      <c r="J4" s="137">
        <f t="shared" si="2"/>
        <v>2983716.54</v>
      </c>
      <c r="K4" s="137">
        <f t="shared" si="2"/>
        <v>385681.43</v>
      </c>
      <c r="L4" s="137">
        <f t="shared" si="2"/>
        <v>0</v>
      </c>
      <c r="M4" s="137">
        <f t="shared" ref="M4:M32" si="3">SUM(I4:L4)</f>
        <v>3380026.99</v>
      </c>
      <c r="N4" s="137">
        <f t="shared" si="0"/>
        <v>1410622.22</v>
      </c>
      <c r="O4" s="137">
        <f t="shared" si="0"/>
        <v>1943591.44</v>
      </c>
      <c r="P4" s="137">
        <f t="shared" ref="P4:P32" si="4">+M4+N4+O4</f>
        <v>6734240.6500000004</v>
      </c>
    </row>
    <row r="5" spans="1:19" x14ac:dyDescent="0.35">
      <c r="A5" s="144" t="s">
        <v>335</v>
      </c>
      <c r="B5" s="144" t="s">
        <v>338</v>
      </c>
      <c r="C5" s="145">
        <v>1507885486.8065979</v>
      </c>
      <c r="G5" s="135" t="s">
        <v>164</v>
      </c>
      <c r="H5" s="136">
        <f t="shared" si="1"/>
        <v>2025</v>
      </c>
      <c r="I5" s="137">
        <f t="shared" si="2"/>
        <v>10555.2</v>
      </c>
      <c r="J5" s="137">
        <f t="shared" si="2"/>
        <v>2962994.98</v>
      </c>
      <c r="K5" s="137">
        <f t="shared" si="2"/>
        <v>383002.91</v>
      </c>
      <c r="L5" s="137">
        <f t="shared" si="2"/>
        <v>0</v>
      </c>
      <c r="M5" s="137">
        <f t="shared" si="3"/>
        <v>3356553.0900000003</v>
      </c>
      <c r="N5" s="137">
        <f t="shared" si="0"/>
        <v>1400825.62</v>
      </c>
      <c r="O5" s="137">
        <f t="shared" si="0"/>
        <v>1930093.42</v>
      </c>
      <c r="P5" s="137">
        <f t="shared" si="4"/>
        <v>6687472.1300000008</v>
      </c>
    </row>
    <row r="6" spans="1:19" x14ac:dyDescent="0.35">
      <c r="A6" s="144" t="s">
        <v>335</v>
      </c>
      <c r="B6" s="144" t="s">
        <v>339</v>
      </c>
      <c r="C6" s="145">
        <v>1302385182.5523028</v>
      </c>
      <c r="G6" s="135" t="s">
        <v>165</v>
      </c>
      <c r="H6" s="136">
        <f t="shared" si="1"/>
        <v>2025</v>
      </c>
      <c r="I6" s="137">
        <f t="shared" si="2"/>
        <v>9116.7000000000007</v>
      </c>
      <c r="J6" s="137">
        <f t="shared" si="2"/>
        <v>2559186.88</v>
      </c>
      <c r="K6" s="137">
        <f t="shared" si="2"/>
        <v>330805.84000000003</v>
      </c>
      <c r="L6" s="137">
        <f t="shared" si="2"/>
        <v>0</v>
      </c>
      <c r="M6" s="137">
        <f t="shared" si="3"/>
        <v>2899109.42</v>
      </c>
      <c r="N6" s="137">
        <f t="shared" si="0"/>
        <v>1209915.83</v>
      </c>
      <c r="O6" s="137">
        <f t="shared" si="0"/>
        <v>1667053.03</v>
      </c>
      <c r="P6" s="137">
        <f t="shared" si="4"/>
        <v>5776078.2800000003</v>
      </c>
    </row>
    <row r="7" spans="1:19" x14ac:dyDescent="0.35">
      <c r="A7" s="144" t="s">
        <v>335</v>
      </c>
      <c r="B7" s="144" t="s">
        <v>340</v>
      </c>
      <c r="C7" s="145">
        <v>1428856862.5901966</v>
      </c>
      <c r="G7" s="135" t="s">
        <v>166</v>
      </c>
      <c r="H7" s="136">
        <f t="shared" si="1"/>
        <v>2025</v>
      </c>
      <c r="I7" s="137">
        <f t="shared" si="2"/>
        <v>10002</v>
      </c>
      <c r="J7" s="137">
        <f t="shared" si="2"/>
        <v>2807703.73</v>
      </c>
      <c r="K7" s="137">
        <f t="shared" si="2"/>
        <v>362929.64</v>
      </c>
      <c r="L7" s="137">
        <f t="shared" si="2"/>
        <v>0</v>
      </c>
      <c r="M7" s="137">
        <f t="shared" si="3"/>
        <v>3180635.37</v>
      </c>
      <c r="N7" s="137">
        <f t="shared" si="0"/>
        <v>1327408.03</v>
      </c>
      <c r="O7" s="137">
        <f t="shared" si="0"/>
        <v>1828936.78</v>
      </c>
      <c r="P7" s="137">
        <f t="shared" si="4"/>
        <v>6336980.1800000006</v>
      </c>
    </row>
    <row r="8" spans="1:19" x14ac:dyDescent="0.35">
      <c r="A8" s="144" t="s">
        <v>335</v>
      </c>
      <c r="B8" s="144" t="s">
        <v>341</v>
      </c>
      <c r="C8" s="145">
        <v>1734303796.9310451</v>
      </c>
      <c r="G8" s="135" t="s">
        <v>304</v>
      </c>
      <c r="H8" s="136">
        <f t="shared" si="1"/>
        <v>2025</v>
      </c>
      <c r="I8" s="137">
        <f t="shared" si="2"/>
        <v>12140.13</v>
      </c>
      <c r="J8" s="137">
        <f t="shared" si="2"/>
        <v>3407906.96</v>
      </c>
      <c r="K8" s="137">
        <f t="shared" si="2"/>
        <v>440513.16</v>
      </c>
      <c r="L8" s="137">
        <f t="shared" si="2"/>
        <v>0</v>
      </c>
      <c r="M8" s="137">
        <f t="shared" si="3"/>
        <v>3860560.25</v>
      </c>
      <c r="N8" s="137">
        <f t="shared" si="0"/>
        <v>1611168.23</v>
      </c>
      <c r="O8" s="137">
        <f t="shared" si="0"/>
        <v>2219908.86</v>
      </c>
      <c r="P8" s="137">
        <f t="shared" si="4"/>
        <v>7691637.3399999999</v>
      </c>
    </row>
    <row r="9" spans="1:19" x14ac:dyDescent="0.35">
      <c r="A9" s="144" t="s">
        <v>335</v>
      </c>
      <c r="B9" s="144" t="s">
        <v>342</v>
      </c>
      <c r="C9" s="145">
        <v>2175362578.0419292</v>
      </c>
      <c r="E9" s="132"/>
      <c r="G9" s="135" t="s">
        <v>343</v>
      </c>
      <c r="H9" s="136">
        <f t="shared" si="1"/>
        <v>2025</v>
      </c>
      <c r="I9" s="137">
        <f t="shared" si="2"/>
        <v>15227.54</v>
      </c>
      <c r="J9" s="137">
        <f t="shared" si="2"/>
        <v>4274587.47</v>
      </c>
      <c r="K9" s="137">
        <f t="shared" si="2"/>
        <v>552542.09</v>
      </c>
      <c r="L9" s="137">
        <f t="shared" si="2"/>
        <v>0</v>
      </c>
      <c r="M9" s="137">
        <f t="shared" si="3"/>
        <v>4842357.0999999996</v>
      </c>
      <c r="N9" s="137">
        <f>ROUND(N$2*$C9,2)</f>
        <v>2020911.84</v>
      </c>
      <c r="O9" s="137">
        <f t="shared" si="0"/>
        <v>2784464.1</v>
      </c>
      <c r="P9" s="137">
        <f t="shared" si="4"/>
        <v>9647733.0399999991</v>
      </c>
      <c r="R9" s="229"/>
    </row>
    <row r="10" spans="1:19" x14ac:dyDescent="0.35">
      <c r="A10" s="144" t="s">
        <v>335</v>
      </c>
      <c r="B10" s="144" t="s">
        <v>344</v>
      </c>
      <c r="C10" s="145">
        <v>2073250569.5345669</v>
      </c>
      <c r="E10" s="132"/>
      <c r="G10" s="135" t="s">
        <v>169</v>
      </c>
      <c r="H10" s="136">
        <f t="shared" si="1"/>
        <v>2025</v>
      </c>
      <c r="I10" s="137">
        <f t="shared" si="2"/>
        <v>14512.75</v>
      </c>
      <c r="J10" s="137">
        <f t="shared" si="2"/>
        <v>4073937.37</v>
      </c>
      <c r="K10" s="137">
        <f t="shared" si="2"/>
        <v>526605.64</v>
      </c>
      <c r="L10" s="137">
        <f t="shared" si="2"/>
        <v>0</v>
      </c>
      <c r="M10" s="137">
        <f t="shared" si="3"/>
        <v>4615055.76</v>
      </c>
      <c r="N10" s="137">
        <f t="shared" si="0"/>
        <v>1926049.78</v>
      </c>
      <c r="O10" s="137">
        <f t="shared" si="0"/>
        <v>2653760.73</v>
      </c>
      <c r="P10" s="137">
        <f t="shared" si="4"/>
        <v>9194866.2699999996</v>
      </c>
      <c r="R10" s="229"/>
    </row>
    <row r="11" spans="1:19" x14ac:dyDescent="0.35">
      <c r="A11" s="144" t="s">
        <v>335</v>
      </c>
      <c r="B11" s="144" t="s">
        <v>345</v>
      </c>
      <c r="C11" s="145">
        <v>1599765782.3234878</v>
      </c>
      <c r="E11" s="132"/>
      <c r="G11" s="135" t="s">
        <v>346</v>
      </c>
      <c r="H11" s="136">
        <f t="shared" si="1"/>
        <v>2025</v>
      </c>
      <c r="I11" s="137">
        <f t="shared" si="2"/>
        <v>11198.36</v>
      </c>
      <c r="J11" s="137">
        <f t="shared" si="2"/>
        <v>3143539.76</v>
      </c>
      <c r="K11" s="137">
        <f t="shared" si="2"/>
        <v>406340.51</v>
      </c>
      <c r="L11" s="137">
        <f t="shared" si="2"/>
        <v>0</v>
      </c>
      <c r="M11" s="137">
        <f t="shared" si="3"/>
        <v>3561078.63</v>
      </c>
      <c r="N11" s="137">
        <f t="shared" si="0"/>
        <v>1486182.41</v>
      </c>
      <c r="O11" s="137">
        <f t="shared" si="0"/>
        <v>2047700.2</v>
      </c>
      <c r="P11" s="137">
        <f t="shared" si="4"/>
        <v>7094961.2400000002</v>
      </c>
      <c r="R11" s="229"/>
    </row>
    <row r="12" spans="1:19" x14ac:dyDescent="0.35">
      <c r="A12" s="144" t="s">
        <v>335</v>
      </c>
      <c r="B12" s="144" t="s">
        <v>347</v>
      </c>
      <c r="C12" s="145">
        <v>1376068342.2394078</v>
      </c>
      <c r="E12" s="132"/>
      <c r="G12" s="135" t="s">
        <v>171</v>
      </c>
      <c r="H12" s="136">
        <f t="shared" si="1"/>
        <v>2025</v>
      </c>
      <c r="I12" s="137">
        <f t="shared" si="2"/>
        <v>9632.48</v>
      </c>
      <c r="J12" s="137">
        <f t="shared" si="2"/>
        <v>2703974.29</v>
      </c>
      <c r="K12" s="137">
        <f t="shared" si="2"/>
        <v>349521.36</v>
      </c>
      <c r="L12" s="137">
        <f t="shared" si="2"/>
        <v>0</v>
      </c>
      <c r="M12" s="137">
        <f t="shared" si="3"/>
        <v>3063128.13</v>
      </c>
      <c r="N12" s="137">
        <f t="shared" si="0"/>
        <v>1278367.49</v>
      </c>
      <c r="O12" s="137">
        <f t="shared" si="0"/>
        <v>1761367.48</v>
      </c>
      <c r="P12" s="137">
        <f t="shared" si="4"/>
        <v>6102863.0999999996</v>
      </c>
      <c r="R12" s="229"/>
    </row>
    <row r="13" spans="1:19" x14ac:dyDescent="0.35">
      <c r="A13" s="144" t="s">
        <v>335</v>
      </c>
      <c r="B13" s="144" t="s">
        <v>348</v>
      </c>
      <c r="C13" s="145">
        <v>1429993346.9448135</v>
      </c>
      <c r="E13" s="132"/>
      <c r="G13" s="135" t="s">
        <v>172</v>
      </c>
      <c r="H13" s="136">
        <f t="shared" si="1"/>
        <v>2025</v>
      </c>
      <c r="I13" s="137">
        <f t="shared" si="2"/>
        <v>10009.950000000001</v>
      </c>
      <c r="J13" s="137">
        <f t="shared" si="2"/>
        <v>2809936.93</v>
      </c>
      <c r="K13" s="137">
        <f t="shared" si="2"/>
        <v>363218.31</v>
      </c>
      <c r="L13" s="137">
        <f t="shared" si="2"/>
        <v>0</v>
      </c>
      <c r="M13" s="137">
        <f t="shared" si="3"/>
        <v>3183165.1900000004</v>
      </c>
      <c r="N13" s="137">
        <f t="shared" si="0"/>
        <v>1328463.82</v>
      </c>
      <c r="O13" s="137">
        <f t="shared" si="0"/>
        <v>1830391.48</v>
      </c>
      <c r="P13" s="137">
        <f t="shared" si="4"/>
        <v>6342020.4900000002</v>
      </c>
      <c r="R13" s="229"/>
    </row>
    <row r="14" spans="1:19" x14ac:dyDescent="0.35">
      <c r="A14" s="144" t="s">
        <v>335</v>
      </c>
      <c r="B14" s="144" t="s">
        <v>349</v>
      </c>
      <c r="C14" s="145">
        <v>1674831676.3577332</v>
      </c>
      <c r="D14" s="145">
        <f>SUM(C3:C14)</f>
        <v>19580135207.173264</v>
      </c>
      <c r="E14" s="132"/>
      <c r="G14" s="135" t="s">
        <v>173</v>
      </c>
      <c r="H14" s="136">
        <f t="shared" si="1"/>
        <v>2025</v>
      </c>
      <c r="I14" s="137">
        <f t="shared" si="2"/>
        <v>11723.82</v>
      </c>
      <c r="J14" s="137">
        <f t="shared" si="2"/>
        <v>3291044.24</v>
      </c>
      <c r="K14" s="137">
        <f t="shared" si="2"/>
        <v>425407.25</v>
      </c>
      <c r="L14" s="137">
        <f t="shared" si="2"/>
        <v>0</v>
      </c>
      <c r="M14" s="137">
        <f t="shared" si="3"/>
        <v>3728175.31</v>
      </c>
      <c r="N14" s="137">
        <f t="shared" si="0"/>
        <v>1555918.63</v>
      </c>
      <c r="O14" s="137">
        <f t="shared" si="0"/>
        <v>2143784.5499999998</v>
      </c>
      <c r="P14" s="137">
        <f t="shared" si="4"/>
        <v>7427878.4899999993</v>
      </c>
      <c r="R14" s="229"/>
      <c r="S14" s="229"/>
    </row>
    <row r="15" spans="1:19" x14ac:dyDescent="0.35">
      <c r="A15" s="308" t="s">
        <v>335</v>
      </c>
      <c r="B15" s="308" t="s">
        <v>350</v>
      </c>
      <c r="C15" s="307">
        <v>1764257789.5636375</v>
      </c>
      <c r="E15" s="132"/>
      <c r="G15" s="138" t="s">
        <v>162</v>
      </c>
      <c r="H15" s="139">
        <f>+H14+1</f>
        <v>2026</v>
      </c>
      <c r="I15" s="140">
        <f t="shared" si="2"/>
        <v>12349.8</v>
      </c>
      <c r="J15" s="140">
        <f t="shared" si="2"/>
        <v>3466766.56</v>
      </c>
      <c r="K15" s="140">
        <f t="shared" si="2"/>
        <v>448121.48</v>
      </c>
      <c r="L15" s="140">
        <f t="shared" si="2"/>
        <v>0</v>
      </c>
      <c r="M15" s="140">
        <f t="shared" si="3"/>
        <v>3927237.84</v>
      </c>
      <c r="N15" s="140">
        <f t="shared" ref="N15:N21" si="5">ROUND(N$2*$C15,2)</f>
        <v>1638995.49</v>
      </c>
      <c r="O15" s="140">
        <f t="shared" si="0"/>
        <v>2258249.9700000002</v>
      </c>
      <c r="P15" s="140">
        <f t="shared" si="4"/>
        <v>7824483.3000000007</v>
      </c>
      <c r="R15" s="229"/>
    </row>
    <row r="16" spans="1:19" x14ac:dyDescent="0.35">
      <c r="A16" s="308" t="s">
        <v>335</v>
      </c>
      <c r="B16" s="308" t="s">
        <v>351</v>
      </c>
      <c r="C16" s="307">
        <v>1521527292.1889496</v>
      </c>
      <c r="E16" s="132"/>
      <c r="G16" s="141" t="s">
        <v>163</v>
      </c>
      <c r="H16" s="139">
        <f>+H15</f>
        <v>2026</v>
      </c>
      <c r="I16" s="140">
        <f t="shared" si="2"/>
        <v>10650.69</v>
      </c>
      <c r="J16" s="140">
        <f t="shared" si="2"/>
        <v>2989801.13</v>
      </c>
      <c r="K16" s="140">
        <f t="shared" si="2"/>
        <v>386467.93</v>
      </c>
      <c r="L16" s="140">
        <f t="shared" si="2"/>
        <v>0</v>
      </c>
      <c r="M16" s="140">
        <f t="shared" si="3"/>
        <v>3386919.75</v>
      </c>
      <c r="N16" s="140">
        <f t="shared" si="5"/>
        <v>1413498.85</v>
      </c>
      <c r="O16" s="140">
        <f t="shared" si="0"/>
        <v>1947554.93</v>
      </c>
      <c r="P16" s="140">
        <f t="shared" si="4"/>
        <v>6747973.5299999993</v>
      </c>
      <c r="R16" s="229"/>
    </row>
    <row r="17" spans="1:19" x14ac:dyDescent="0.35">
      <c r="A17" s="308" t="s">
        <v>335</v>
      </c>
      <c r="B17" s="308" t="s">
        <v>352</v>
      </c>
      <c r="C17" s="307">
        <v>1509279565.3064404</v>
      </c>
      <c r="E17" s="132"/>
      <c r="G17" s="141" t="s">
        <v>164</v>
      </c>
      <c r="H17" s="139">
        <f>+H16</f>
        <v>2026</v>
      </c>
      <c r="I17" s="140">
        <f t="shared" si="2"/>
        <v>10564.96</v>
      </c>
      <c r="J17" s="140">
        <f t="shared" si="2"/>
        <v>2965734.35</v>
      </c>
      <c r="K17" s="140">
        <f t="shared" si="2"/>
        <v>383357.01</v>
      </c>
      <c r="L17" s="140">
        <f t="shared" si="2"/>
        <v>0</v>
      </c>
      <c r="M17" s="140">
        <f t="shared" si="3"/>
        <v>3359656.3200000003</v>
      </c>
      <c r="N17" s="140">
        <f t="shared" si="5"/>
        <v>1402120.72</v>
      </c>
      <c r="O17" s="140">
        <f t="shared" si="0"/>
        <v>1931877.84</v>
      </c>
      <c r="P17" s="140">
        <f t="shared" si="4"/>
        <v>6693654.8799999999</v>
      </c>
      <c r="R17" s="229"/>
    </row>
    <row r="18" spans="1:19" x14ac:dyDescent="0.35">
      <c r="A18" s="308" t="s">
        <v>335</v>
      </c>
      <c r="B18" s="308" t="s">
        <v>353</v>
      </c>
      <c r="C18" s="307">
        <v>1301687815.08582</v>
      </c>
      <c r="E18" s="132"/>
      <c r="G18" s="141" t="s">
        <v>165</v>
      </c>
      <c r="H18" s="139">
        <f>+H17</f>
        <v>2026</v>
      </c>
      <c r="I18" s="140">
        <f t="shared" si="2"/>
        <v>9111.81</v>
      </c>
      <c r="J18" s="140">
        <f t="shared" si="2"/>
        <v>2557816.56</v>
      </c>
      <c r="K18" s="140">
        <f t="shared" si="2"/>
        <v>330628.71000000002</v>
      </c>
      <c r="L18" s="140">
        <f t="shared" si="2"/>
        <v>0</v>
      </c>
      <c r="M18" s="140">
        <f t="shared" si="3"/>
        <v>2897557.08</v>
      </c>
      <c r="N18" s="140">
        <f t="shared" si="5"/>
        <v>1209267.98</v>
      </c>
      <c r="O18" s="140">
        <f t="shared" si="0"/>
        <v>1666160.4</v>
      </c>
      <c r="P18" s="140">
        <f t="shared" si="4"/>
        <v>5772985.46</v>
      </c>
      <c r="R18" s="229"/>
    </row>
    <row r="19" spans="1:19" x14ac:dyDescent="0.35">
      <c r="A19" s="308" t="s">
        <v>335</v>
      </c>
      <c r="B19" s="308" t="s">
        <v>354</v>
      </c>
      <c r="C19" s="307">
        <v>1429604801.3524609</v>
      </c>
      <c r="E19" s="132"/>
      <c r="G19" s="141" t="s">
        <v>166</v>
      </c>
      <c r="H19" s="139">
        <f>+H18</f>
        <v>2026</v>
      </c>
      <c r="I19" s="140">
        <f t="shared" si="2"/>
        <v>10007.23</v>
      </c>
      <c r="J19" s="140">
        <f t="shared" si="2"/>
        <v>2809173.43</v>
      </c>
      <c r="K19" s="140">
        <f t="shared" si="2"/>
        <v>363119.62</v>
      </c>
      <c r="L19" s="140">
        <f t="shared" si="2"/>
        <v>0</v>
      </c>
      <c r="M19" s="140">
        <f t="shared" si="3"/>
        <v>3182300.2800000003</v>
      </c>
      <c r="N19" s="140">
        <f t="shared" si="5"/>
        <v>1328102.8600000001</v>
      </c>
      <c r="O19" s="140">
        <f t="shared" si="0"/>
        <v>1829894.15</v>
      </c>
      <c r="P19" s="140">
        <f t="shared" si="4"/>
        <v>6340297.290000001</v>
      </c>
      <c r="R19" s="229"/>
    </row>
    <row r="20" spans="1:19" x14ac:dyDescent="0.35">
      <c r="A20" s="308" t="s">
        <v>335</v>
      </c>
      <c r="B20" s="308" t="s">
        <v>355</v>
      </c>
      <c r="C20" s="307">
        <v>1739252991.7524381</v>
      </c>
      <c r="D20" s="146">
        <f>SUM(C15:C20)</f>
        <v>9265610255.2497463</v>
      </c>
      <c r="E20" s="132"/>
      <c r="G20" s="142" t="s">
        <v>167</v>
      </c>
      <c r="H20" s="143">
        <f>+H19</f>
        <v>2026</v>
      </c>
      <c r="I20" s="140">
        <f t="shared" si="2"/>
        <v>12174.77</v>
      </c>
      <c r="J20" s="140">
        <f t="shared" si="2"/>
        <v>3417632.13</v>
      </c>
      <c r="K20" s="140">
        <f t="shared" si="2"/>
        <v>441770.26</v>
      </c>
      <c r="L20" s="140">
        <f t="shared" si="2"/>
        <v>0</v>
      </c>
      <c r="M20" s="140">
        <f t="shared" si="3"/>
        <v>3871577.16</v>
      </c>
      <c r="N20" s="140">
        <f t="shared" si="5"/>
        <v>1615766.03</v>
      </c>
      <c r="O20" s="140">
        <f t="shared" si="0"/>
        <v>2226243.83</v>
      </c>
      <c r="P20" s="140">
        <f t="shared" si="4"/>
        <v>7713587.0200000005</v>
      </c>
      <c r="R20" s="229"/>
      <c r="S20" s="229"/>
    </row>
    <row r="21" spans="1:19" x14ac:dyDescent="0.35">
      <c r="A21" s="308" t="s">
        <v>335</v>
      </c>
      <c r="B21" s="308" t="s">
        <v>356</v>
      </c>
      <c r="C21" s="307">
        <v>2186517425.8529067</v>
      </c>
      <c r="E21" s="132"/>
      <c r="G21" s="142" t="s">
        <v>168</v>
      </c>
      <c r="H21" s="143">
        <f t="shared" ref="H21:H32" si="6">+H20</f>
        <v>2026</v>
      </c>
      <c r="I21" s="140">
        <f t="shared" si="2"/>
        <v>15305.62</v>
      </c>
      <c r="J21" s="140">
        <f t="shared" si="2"/>
        <v>4296506.74</v>
      </c>
      <c r="K21" s="140">
        <f t="shared" si="2"/>
        <v>555375.43000000005</v>
      </c>
      <c r="L21" s="140">
        <f t="shared" si="2"/>
        <v>0</v>
      </c>
      <c r="M21" s="140">
        <f t="shared" si="3"/>
        <v>4867187.79</v>
      </c>
      <c r="N21" s="140">
        <f t="shared" si="5"/>
        <v>2031274.69</v>
      </c>
      <c r="O21" s="140">
        <f t="shared" si="0"/>
        <v>2798742.31</v>
      </c>
      <c r="P21" s="140">
        <f t="shared" si="4"/>
        <v>9697204.790000001</v>
      </c>
      <c r="R21" s="229"/>
      <c r="S21" s="229"/>
    </row>
    <row r="22" spans="1:19" x14ac:dyDescent="0.35">
      <c r="A22" s="308" t="s">
        <v>335</v>
      </c>
      <c r="B22" s="308" t="s">
        <v>357</v>
      </c>
      <c r="C22" s="307">
        <v>2081632675.0373204</v>
      </c>
      <c r="G22" s="142" t="s">
        <v>169</v>
      </c>
      <c r="H22" s="143">
        <f t="shared" si="6"/>
        <v>2026</v>
      </c>
      <c r="I22" s="140">
        <f t="shared" ref="I22:L32" si="7">ROUND(I$2*$C22,2)</f>
        <v>14571.43</v>
      </c>
      <c r="J22" s="140">
        <f t="shared" si="7"/>
        <v>4090408.21</v>
      </c>
      <c r="K22" s="140">
        <f t="shared" si="7"/>
        <v>528734.69999999995</v>
      </c>
      <c r="L22" s="140">
        <f t="shared" si="7"/>
        <v>0</v>
      </c>
      <c r="M22" s="140">
        <f t="shared" si="3"/>
        <v>4633714.34</v>
      </c>
      <c r="N22" s="140">
        <f t="shared" ref="N22:O32" si="8">ROUND(N$2*$C22,2)</f>
        <v>1933836.76</v>
      </c>
      <c r="O22" s="140">
        <f t="shared" si="8"/>
        <v>2664489.8199999998</v>
      </c>
      <c r="P22" s="140">
        <f t="shared" si="4"/>
        <v>9232040.9199999999</v>
      </c>
      <c r="R22" s="229"/>
      <c r="S22" s="229"/>
    </row>
    <row r="23" spans="1:19" x14ac:dyDescent="0.35">
      <c r="A23" s="308" t="s">
        <v>335</v>
      </c>
      <c r="B23" s="308" t="s">
        <v>358</v>
      </c>
      <c r="C23" s="307">
        <v>1603779179.2175443</v>
      </c>
      <c r="D23" s="132" t="str">
        <f>B21</f>
        <v>Jul - 2026</v>
      </c>
      <c r="E23" s="132">
        <f>C21</f>
        <v>2186517425.8529067</v>
      </c>
      <c r="G23" s="142" t="s">
        <v>170</v>
      </c>
      <c r="H23" s="143">
        <f t="shared" si="6"/>
        <v>2026</v>
      </c>
      <c r="I23" s="140">
        <f t="shared" si="7"/>
        <v>11226.45</v>
      </c>
      <c r="J23" s="140">
        <f t="shared" si="7"/>
        <v>3151426.09</v>
      </c>
      <c r="K23" s="140">
        <f t="shared" si="7"/>
        <v>407359.91</v>
      </c>
      <c r="L23" s="140">
        <f t="shared" si="7"/>
        <v>0</v>
      </c>
      <c r="M23" s="140">
        <f t="shared" si="3"/>
        <v>3570012.45</v>
      </c>
      <c r="N23" s="140">
        <f t="shared" si="8"/>
        <v>1489910.86</v>
      </c>
      <c r="O23" s="140">
        <f t="shared" si="8"/>
        <v>2052837.35</v>
      </c>
      <c r="P23" s="140">
        <f t="shared" si="4"/>
        <v>7112760.6600000001</v>
      </c>
      <c r="R23" s="229"/>
      <c r="S23" s="229"/>
    </row>
    <row r="24" spans="1:19" x14ac:dyDescent="0.35">
      <c r="A24" s="308" t="s">
        <v>335</v>
      </c>
      <c r="B24" s="308" t="s">
        <v>359</v>
      </c>
      <c r="C24" s="307">
        <v>1375538752.2542086</v>
      </c>
      <c r="D24" s="132" t="str">
        <f t="shared" ref="D24:D34" si="9">B22</f>
        <v>Aug - 2026</v>
      </c>
      <c r="E24" s="132">
        <f t="shared" ref="E24:E33" si="10">C22</f>
        <v>2081632675.0373204</v>
      </c>
      <c r="G24" s="142" t="s">
        <v>171</v>
      </c>
      <c r="H24" s="143">
        <f t="shared" si="6"/>
        <v>2026</v>
      </c>
      <c r="I24" s="140">
        <f t="shared" si="7"/>
        <v>9628.77</v>
      </c>
      <c r="J24" s="140">
        <f t="shared" si="7"/>
        <v>2702933.65</v>
      </c>
      <c r="K24" s="140">
        <f t="shared" si="7"/>
        <v>349386.84</v>
      </c>
      <c r="L24" s="140">
        <f t="shared" si="7"/>
        <v>0</v>
      </c>
      <c r="M24" s="140">
        <f t="shared" si="3"/>
        <v>3061949.26</v>
      </c>
      <c r="N24" s="140">
        <f t="shared" si="8"/>
        <v>1277875.5</v>
      </c>
      <c r="O24" s="140">
        <f t="shared" si="8"/>
        <v>1760689.6</v>
      </c>
      <c r="P24" s="140">
        <f t="shared" si="4"/>
        <v>6100514.3599999994</v>
      </c>
      <c r="R24" s="229"/>
      <c r="S24" s="229"/>
    </row>
    <row r="25" spans="1:19" x14ac:dyDescent="0.35">
      <c r="A25" s="308" t="s">
        <v>335</v>
      </c>
      <c r="B25" s="308" t="s">
        <v>360</v>
      </c>
      <c r="C25" s="307">
        <v>1431273170.1340044</v>
      </c>
      <c r="D25" s="132" t="str">
        <f t="shared" si="9"/>
        <v>Sep - 2026</v>
      </c>
      <c r="E25" s="132">
        <f t="shared" si="10"/>
        <v>1603779179.2175443</v>
      </c>
      <c r="G25" s="142" t="s">
        <v>172</v>
      </c>
      <c r="H25" s="143">
        <f t="shared" si="6"/>
        <v>2026</v>
      </c>
      <c r="I25" s="140">
        <f t="shared" si="7"/>
        <v>10018.91</v>
      </c>
      <c r="J25" s="140">
        <f t="shared" si="7"/>
        <v>2812451.78</v>
      </c>
      <c r="K25" s="140">
        <f t="shared" si="7"/>
        <v>363543.39</v>
      </c>
      <c r="L25" s="140">
        <f t="shared" si="7"/>
        <v>0</v>
      </c>
      <c r="M25" s="140">
        <f t="shared" si="3"/>
        <v>3186014.08</v>
      </c>
      <c r="N25" s="140">
        <f t="shared" si="8"/>
        <v>1329652.78</v>
      </c>
      <c r="O25" s="140">
        <f t="shared" si="8"/>
        <v>1832029.66</v>
      </c>
      <c r="P25" s="140">
        <f t="shared" si="4"/>
        <v>6347696.5200000005</v>
      </c>
      <c r="R25" s="229"/>
      <c r="S25" s="229"/>
    </row>
    <row r="26" spans="1:19" x14ac:dyDescent="0.35">
      <c r="A26" s="308" t="s">
        <v>335</v>
      </c>
      <c r="B26" s="308" t="s">
        <v>361</v>
      </c>
      <c r="C26" s="307">
        <v>1679096950.6602523</v>
      </c>
      <c r="D26" s="132" t="str">
        <f t="shared" si="9"/>
        <v>Oct - 2026</v>
      </c>
      <c r="E26" s="132">
        <f t="shared" si="10"/>
        <v>1375538752.2542086</v>
      </c>
      <c r="G26" s="142" t="s">
        <v>173</v>
      </c>
      <c r="H26" s="143">
        <f t="shared" si="6"/>
        <v>2026</v>
      </c>
      <c r="I26" s="140">
        <f t="shared" si="7"/>
        <v>11753.68</v>
      </c>
      <c r="J26" s="140">
        <f t="shared" si="7"/>
        <v>3299425.51</v>
      </c>
      <c r="K26" s="140">
        <f t="shared" si="7"/>
        <v>426490.63</v>
      </c>
      <c r="L26" s="140">
        <f t="shared" si="7"/>
        <v>0</v>
      </c>
      <c r="M26" s="140">
        <f t="shared" si="3"/>
        <v>3737669.82</v>
      </c>
      <c r="N26" s="140">
        <f t="shared" si="8"/>
        <v>1559881.07</v>
      </c>
      <c r="O26" s="140">
        <f t="shared" si="8"/>
        <v>2149244.1</v>
      </c>
      <c r="P26" s="140">
        <f t="shared" si="4"/>
        <v>7446794.9900000002</v>
      </c>
      <c r="R26" s="229"/>
      <c r="S26" s="229"/>
    </row>
    <row r="27" spans="1:19" x14ac:dyDescent="0.35">
      <c r="A27" s="308" t="s">
        <v>335</v>
      </c>
      <c r="B27" s="308" t="s">
        <v>362</v>
      </c>
      <c r="C27" s="307">
        <v>1761522620.3663082</v>
      </c>
      <c r="D27" s="132" t="str">
        <f t="shared" si="9"/>
        <v>Nov - 2026</v>
      </c>
      <c r="E27" s="132">
        <f t="shared" si="10"/>
        <v>1431273170.1340044</v>
      </c>
      <c r="G27" s="142" t="s">
        <v>162</v>
      </c>
      <c r="H27" s="143">
        <v>2027</v>
      </c>
      <c r="I27" s="140">
        <f t="shared" si="7"/>
        <v>12330.66</v>
      </c>
      <c r="J27" s="140">
        <f t="shared" si="7"/>
        <v>3461391.95</v>
      </c>
      <c r="K27" s="140">
        <f t="shared" si="7"/>
        <v>447426.75</v>
      </c>
      <c r="L27" s="140">
        <f t="shared" si="7"/>
        <v>0</v>
      </c>
      <c r="M27" s="140">
        <f t="shared" si="3"/>
        <v>3921149.3600000003</v>
      </c>
      <c r="N27" s="140">
        <f t="shared" si="8"/>
        <v>1636454.51</v>
      </c>
      <c r="O27" s="140">
        <f t="shared" si="8"/>
        <v>2254748.9500000002</v>
      </c>
      <c r="P27" s="140">
        <f t="shared" si="4"/>
        <v>7812352.8200000003</v>
      </c>
      <c r="Q27" s="134"/>
      <c r="R27" s="229"/>
      <c r="S27" s="229"/>
    </row>
    <row r="28" spans="1:19" x14ac:dyDescent="0.35">
      <c r="A28" s="308" t="s">
        <v>335</v>
      </c>
      <c r="B28" s="308" t="s">
        <v>363</v>
      </c>
      <c r="C28" s="307">
        <v>1517184580.4869277</v>
      </c>
      <c r="D28" s="132" t="str">
        <f t="shared" si="9"/>
        <v>Dec - 2026</v>
      </c>
      <c r="E28" s="132">
        <f t="shared" si="10"/>
        <v>1679096950.6602523</v>
      </c>
      <c r="G28" s="142" t="s">
        <v>163</v>
      </c>
      <c r="H28" s="143">
        <f t="shared" si="6"/>
        <v>2027</v>
      </c>
      <c r="I28" s="140">
        <f t="shared" si="7"/>
        <v>10620.29</v>
      </c>
      <c r="J28" s="140">
        <f t="shared" si="7"/>
        <v>2981267.7</v>
      </c>
      <c r="K28" s="140">
        <f t="shared" si="7"/>
        <v>385364.88</v>
      </c>
      <c r="L28" s="140">
        <f t="shared" si="7"/>
        <v>0</v>
      </c>
      <c r="M28" s="140">
        <f t="shared" si="3"/>
        <v>3377252.87</v>
      </c>
      <c r="N28" s="140">
        <f t="shared" si="8"/>
        <v>1409464.48</v>
      </c>
      <c r="O28" s="140">
        <f t="shared" si="8"/>
        <v>1941996.26</v>
      </c>
      <c r="P28" s="140">
        <f t="shared" si="4"/>
        <v>6728713.6099999994</v>
      </c>
      <c r="Q28" s="134"/>
      <c r="R28" s="13"/>
    </row>
    <row r="29" spans="1:19" x14ac:dyDescent="0.35">
      <c r="A29" s="308" t="s">
        <v>335</v>
      </c>
      <c r="B29" s="308" t="s">
        <v>364</v>
      </c>
      <c r="C29" s="307">
        <v>1503428908.107728</v>
      </c>
      <c r="D29" s="132" t="str">
        <f t="shared" si="9"/>
        <v>Jan - 2027</v>
      </c>
      <c r="E29" s="132">
        <f t="shared" si="10"/>
        <v>1761522620.3663082</v>
      </c>
      <c r="G29" s="142" t="s">
        <v>164</v>
      </c>
      <c r="H29" s="143">
        <f t="shared" si="6"/>
        <v>2027</v>
      </c>
      <c r="I29" s="140">
        <f t="shared" si="7"/>
        <v>10524</v>
      </c>
      <c r="J29" s="140">
        <f t="shared" si="7"/>
        <v>2954237.8</v>
      </c>
      <c r="K29" s="140">
        <f t="shared" si="7"/>
        <v>381870.94</v>
      </c>
      <c r="L29" s="140">
        <f t="shared" si="7"/>
        <v>0</v>
      </c>
      <c r="M29" s="140">
        <f t="shared" si="3"/>
        <v>3346632.7399999998</v>
      </c>
      <c r="N29" s="140">
        <f t="shared" si="8"/>
        <v>1396685.46</v>
      </c>
      <c r="O29" s="140">
        <f t="shared" si="8"/>
        <v>1924389</v>
      </c>
      <c r="P29" s="140">
        <f t="shared" si="4"/>
        <v>6667707.1999999993</v>
      </c>
      <c r="Q29" s="134"/>
    </row>
    <row r="30" spans="1:19" x14ac:dyDescent="0.35">
      <c r="A30" s="308" t="s">
        <v>335</v>
      </c>
      <c r="B30" s="308" t="s">
        <v>365</v>
      </c>
      <c r="C30" s="307">
        <v>1294001100.9668097</v>
      </c>
      <c r="D30" s="132" t="str">
        <f t="shared" si="9"/>
        <v>Feb - 2027</v>
      </c>
      <c r="E30" s="132">
        <f t="shared" si="10"/>
        <v>1517184580.4869277</v>
      </c>
      <c r="G30" s="142" t="s">
        <v>165</v>
      </c>
      <c r="H30" s="143">
        <f t="shared" si="6"/>
        <v>2027</v>
      </c>
      <c r="I30" s="140">
        <f t="shared" si="7"/>
        <v>9058.01</v>
      </c>
      <c r="J30" s="140">
        <f t="shared" si="7"/>
        <v>2542712.16</v>
      </c>
      <c r="K30" s="140">
        <f t="shared" si="7"/>
        <v>328676.28000000003</v>
      </c>
      <c r="L30" s="140">
        <f t="shared" si="7"/>
        <v>0</v>
      </c>
      <c r="M30" s="140">
        <f t="shared" si="3"/>
        <v>2880446.45</v>
      </c>
      <c r="N30" s="140">
        <f t="shared" si="8"/>
        <v>1202127.02</v>
      </c>
      <c r="O30" s="140">
        <f t="shared" si="8"/>
        <v>1656321.41</v>
      </c>
      <c r="P30" s="140">
        <f t="shared" si="4"/>
        <v>5738894.8799999999</v>
      </c>
    </row>
    <row r="31" spans="1:19" x14ac:dyDescent="0.35">
      <c r="A31" s="308" t="s">
        <v>335</v>
      </c>
      <c r="B31" s="308" t="s">
        <v>366</v>
      </c>
      <c r="C31" s="307">
        <v>1423203482.2493062</v>
      </c>
      <c r="D31" s="132" t="str">
        <f t="shared" si="9"/>
        <v>Mar - 2027</v>
      </c>
      <c r="E31" s="132">
        <f t="shared" si="10"/>
        <v>1503428908.107728</v>
      </c>
      <c r="G31" s="142" t="s">
        <v>166</v>
      </c>
      <c r="H31" s="143">
        <f t="shared" si="6"/>
        <v>2027</v>
      </c>
      <c r="I31" s="140">
        <f t="shared" si="7"/>
        <v>9962.42</v>
      </c>
      <c r="J31" s="140">
        <f t="shared" si="7"/>
        <v>2796594.84</v>
      </c>
      <c r="K31" s="140">
        <f t="shared" si="7"/>
        <v>361493.68</v>
      </c>
      <c r="L31" s="140">
        <f t="shared" si="7"/>
        <v>0</v>
      </c>
      <c r="M31" s="140">
        <f t="shared" si="3"/>
        <v>3168050.94</v>
      </c>
      <c r="N31" s="140">
        <f t="shared" si="8"/>
        <v>1322156.04</v>
      </c>
      <c r="O31" s="140">
        <f t="shared" si="8"/>
        <v>1821700.46</v>
      </c>
      <c r="P31" s="140">
        <f t="shared" si="4"/>
        <v>6311907.4400000004</v>
      </c>
    </row>
    <row r="32" spans="1:19" ht="15" thickBot="1" x14ac:dyDescent="0.4">
      <c r="A32" s="308" t="s">
        <v>335</v>
      </c>
      <c r="B32" s="308" t="s">
        <v>367</v>
      </c>
      <c r="C32" s="307">
        <v>1736921175.191072</v>
      </c>
      <c r="D32" s="132" t="str">
        <f t="shared" si="9"/>
        <v>Apr - 2027</v>
      </c>
      <c r="E32" s="132">
        <f t="shared" si="10"/>
        <v>1294001100.9668097</v>
      </c>
      <c r="G32" s="142" t="s">
        <v>304</v>
      </c>
      <c r="H32" s="143">
        <f t="shared" si="6"/>
        <v>2027</v>
      </c>
      <c r="I32" s="140">
        <f t="shared" si="7"/>
        <v>12158.45</v>
      </c>
      <c r="J32" s="140">
        <f t="shared" si="7"/>
        <v>3413050.11</v>
      </c>
      <c r="K32" s="140">
        <f t="shared" si="7"/>
        <v>441177.98</v>
      </c>
      <c r="L32" s="140">
        <f t="shared" si="7"/>
        <v>0</v>
      </c>
      <c r="M32" s="140">
        <f t="shared" si="3"/>
        <v>3866386.54</v>
      </c>
      <c r="N32" s="140">
        <f t="shared" si="8"/>
        <v>1613599.77</v>
      </c>
      <c r="O32" s="140">
        <f t="shared" si="8"/>
        <v>2223259.1</v>
      </c>
      <c r="P32" s="140">
        <f t="shared" si="4"/>
        <v>7703245.4100000001</v>
      </c>
    </row>
    <row r="33" spans="1:16" ht="15" thickBot="1" x14ac:dyDescent="0.4">
      <c r="A33" s="308" t="s">
        <v>335</v>
      </c>
      <c r="B33" s="308" t="s">
        <v>368</v>
      </c>
      <c r="C33" s="307">
        <v>2190287532.9042401</v>
      </c>
      <c r="D33" s="132" t="str">
        <f t="shared" si="9"/>
        <v>May - 2027</v>
      </c>
      <c r="E33" s="132">
        <f t="shared" si="10"/>
        <v>1423203482.2493062</v>
      </c>
      <c r="G33" s="265" t="s">
        <v>369</v>
      </c>
      <c r="H33" s="265"/>
      <c r="I33" s="266">
        <f t="shared" ref="I33:P33" si="11">SUM(I3:I20)</f>
        <v>201920.21999999997</v>
      </c>
      <c r="J33" s="266">
        <f t="shared" si="11"/>
        <v>56681889.830000013</v>
      </c>
      <c r="K33" s="266">
        <f t="shared" si="11"/>
        <v>7326819.3499999996</v>
      </c>
      <c r="L33" s="266">
        <f t="shared" si="11"/>
        <v>0</v>
      </c>
      <c r="M33" s="266">
        <f t="shared" si="11"/>
        <v>64210629.400000006</v>
      </c>
      <c r="N33" s="266">
        <f t="shared" si="11"/>
        <v>26797697.550000001</v>
      </c>
      <c r="O33" s="266">
        <f t="shared" si="11"/>
        <v>36922554.179999992</v>
      </c>
      <c r="P33" s="266">
        <f t="shared" si="11"/>
        <v>127930881.12999998</v>
      </c>
    </row>
    <row r="34" spans="1:16" ht="15" thickTop="1" x14ac:dyDescent="0.35">
      <c r="A34" s="308" t="s">
        <v>335</v>
      </c>
      <c r="B34" s="308" t="s">
        <v>370</v>
      </c>
      <c r="C34" s="307">
        <v>2082972584.1219673</v>
      </c>
      <c r="D34" s="132" t="str">
        <f t="shared" si="9"/>
        <v>Jun - 2027</v>
      </c>
      <c r="E34" s="132">
        <f>C32</f>
        <v>1736921175.191072</v>
      </c>
      <c r="M34" s="133">
        <f>SUM(I33:L33)-M33</f>
        <v>0</v>
      </c>
      <c r="N34" s="13"/>
      <c r="P34" s="133">
        <f>+M33+N33+O33-P33</f>
        <v>0</v>
      </c>
    </row>
    <row r="35" spans="1:16" ht="15" thickBot="1" x14ac:dyDescent="0.4">
      <c r="A35" s="308" t="s">
        <v>335</v>
      </c>
      <c r="B35" s="308" t="s">
        <v>371</v>
      </c>
      <c r="C35" s="307">
        <v>1602406094.8977842</v>
      </c>
      <c r="E35" s="148">
        <f>SUM(E23:E34)</f>
        <v>19594100020.524387</v>
      </c>
      <c r="N35" s="13"/>
    </row>
    <row r="36" spans="1:16" ht="15" thickTop="1" x14ac:dyDescent="0.35">
      <c r="A36" s="308" t="s">
        <v>335</v>
      </c>
      <c r="B36" s="308" t="s">
        <v>372</v>
      </c>
      <c r="C36" s="307">
        <v>1367395207.1617274</v>
      </c>
      <c r="N36" s="13"/>
    </row>
    <row r="37" spans="1:16" x14ac:dyDescent="0.35">
      <c r="A37" s="308" t="s">
        <v>335</v>
      </c>
      <c r="B37" s="308" t="s">
        <v>373</v>
      </c>
      <c r="C37" s="307">
        <v>1425700810.9718547</v>
      </c>
      <c r="N37" s="13"/>
    </row>
    <row r="38" spans="1:16" x14ac:dyDescent="0.35">
      <c r="A38" s="308" t="s">
        <v>335</v>
      </c>
      <c r="B38" s="308" t="s">
        <v>374</v>
      </c>
      <c r="C38" s="307">
        <v>1676435209.0599592</v>
      </c>
      <c r="N38" s="13"/>
    </row>
    <row r="39" spans="1:16" x14ac:dyDescent="0.35">
      <c r="A39" s="147" t="s">
        <v>335</v>
      </c>
      <c r="B39" s="147" t="s">
        <v>375</v>
      </c>
      <c r="C39" s="132">
        <v>1731684228.5258076</v>
      </c>
    </row>
    <row r="40" spans="1:16" x14ac:dyDescent="0.35">
      <c r="A40" s="147" t="s">
        <v>335</v>
      </c>
      <c r="B40" s="147" t="s">
        <v>376</v>
      </c>
      <c r="C40" s="132">
        <v>1544451926.4744208</v>
      </c>
    </row>
    <row r="41" spans="1:16" x14ac:dyDescent="0.35">
      <c r="A41" s="147" t="s">
        <v>335</v>
      </c>
      <c r="B41" s="147" t="s">
        <v>377</v>
      </c>
      <c r="C41" s="132">
        <v>1493244288.0973742</v>
      </c>
    </row>
    <row r="42" spans="1:16" x14ac:dyDescent="0.35">
      <c r="A42" s="147" t="s">
        <v>335</v>
      </c>
      <c r="B42" s="147" t="s">
        <v>379</v>
      </c>
      <c r="C42" s="132">
        <v>1296237771.7805259</v>
      </c>
    </row>
    <row r="43" spans="1:16" x14ac:dyDescent="0.35">
      <c r="A43" s="147" t="s">
        <v>335</v>
      </c>
      <c r="B43" s="147" t="s">
        <v>380</v>
      </c>
      <c r="C43" s="132">
        <v>1391660955.4727695</v>
      </c>
    </row>
    <row r="44" spans="1:16" x14ac:dyDescent="0.35">
      <c r="A44" s="147" t="s">
        <v>335</v>
      </c>
      <c r="B44" s="147" t="s">
        <v>381</v>
      </c>
      <c r="C44" s="132">
        <v>1721576792.4800766</v>
      </c>
    </row>
    <row r="45" spans="1:16" x14ac:dyDescent="0.35">
      <c r="A45" s="147" t="s">
        <v>335</v>
      </c>
      <c r="B45" s="147" t="s">
        <v>382</v>
      </c>
      <c r="C45" s="132">
        <v>2128854491.9915712</v>
      </c>
    </row>
    <row r="46" spans="1:16" x14ac:dyDescent="0.35">
      <c r="A46" s="147" t="s">
        <v>335</v>
      </c>
      <c r="B46" s="147" t="s">
        <v>383</v>
      </c>
      <c r="C46" s="132">
        <v>2029717911.3819511</v>
      </c>
    </row>
    <row r="47" spans="1:16" x14ac:dyDescent="0.35">
      <c r="A47" s="147" t="s">
        <v>335</v>
      </c>
      <c r="B47" s="147" t="s">
        <v>384</v>
      </c>
      <c r="C47" s="132">
        <v>1572672012.6670439</v>
      </c>
    </row>
    <row r="48" spans="1:16" x14ac:dyDescent="0.35">
      <c r="A48" s="147" t="s">
        <v>335</v>
      </c>
      <c r="B48" s="147" t="s">
        <v>385</v>
      </c>
      <c r="C48" s="132">
        <v>1367188817.6749353</v>
      </c>
    </row>
    <row r="49" spans="1:3" x14ac:dyDescent="0.35">
      <c r="A49" s="147" t="s">
        <v>335</v>
      </c>
      <c r="B49" s="147" t="s">
        <v>386</v>
      </c>
      <c r="C49" s="132">
        <v>1422276124.9057708</v>
      </c>
    </row>
    <row r="50" spans="1:3" x14ac:dyDescent="0.35">
      <c r="A50" s="147" t="s">
        <v>335</v>
      </c>
      <c r="B50" s="147" t="s">
        <v>387</v>
      </c>
      <c r="C50" s="132">
        <v>1665885694.6734455</v>
      </c>
    </row>
    <row r="51" spans="1:3" x14ac:dyDescent="0.35">
      <c r="A51" s="147" t="s">
        <v>335</v>
      </c>
      <c r="B51" s="147" t="s">
        <v>388</v>
      </c>
      <c r="C51" s="132">
        <v>1774906558.0651729</v>
      </c>
    </row>
    <row r="52" spans="1:3" x14ac:dyDescent="0.35">
      <c r="A52" s="147" t="s">
        <v>335</v>
      </c>
      <c r="B52" s="147" t="s">
        <v>389</v>
      </c>
      <c r="C52" s="132">
        <v>1524127606.2846549</v>
      </c>
    </row>
    <row r="53" spans="1:3" x14ac:dyDescent="0.35">
      <c r="A53" s="147" t="s">
        <v>335</v>
      </c>
      <c r="B53" s="147" t="s">
        <v>390</v>
      </c>
      <c r="C53" s="132">
        <v>1507141228.0984857</v>
      </c>
    </row>
    <row r="54" spans="1:3" x14ac:dyDescent="0.35">
      <c r="A54" s="147" t="s">
        <v>335</v>
      </c>
      <c r="B54" s="147" t="s">
        <v>391</v>
      </c>
      <c r="C54" s="132">
        <v>1291355180.2148926</v>
      </c>
    </row>
    <row r="55" spans="1:3" x14ac:dyDescent="0.35">
      <c r="A55" s="147" t="s">
        <v>335</v>
      </c>
      <c r="B55" s="147" t="s">
        <v>392</v>
      </c>
      <c r="C55" s="132">
        <v>1424809123.9136975</v>
      </c>
    </row>
    <row r="56" spans="1:3" x14ac:dyDescent="0.35">
      <c r="A56" s="147" t="s">
        <v>335</v>
      </c>
      <c r="B56" s="147" t="s">
        <v>393</v>
      </c>
      <c r="C56" s="132">
        <v>1751080197.1603799</v>
      </c>
    </row>
    <row r="57" spans="1:3" x14ac:dyDescent="0.35">
      <c r="A57" s="147" t="s">
        <v>335</v>
      </c>
      <c r="B57" s="147" t="s">
        <v>394</v>
      </c>
      <c r="C57" s="132">
        <v>2223118076.0476394</v>
      </c>
    </row>
    <row r="58" spans="1:3" x14ac:dyDescent="0.35">
      <c r="A58" s="147" t="s">
        <v>335</v>
      </c>
      <c r="B58" s="147" t="s">
        <v>395</v>
      </c>
      <c r="C58" s="132">
        <v>2109204391.4887903</v>
      </c>
    </row>
    <row r="59" spans="1:3" x14ac:dyDescent="0.35">
      <c r="A59" s="147" t="s">
        <v>335</v>
      </c>
      <c r="B59" s="147" t="s">
        <v>396</v>
      </c>
      <c r="C59" s="132">
        <v>1617806910.2931862</v>
      </c>
    </row>
    <row r="60" spans="1:3" x14ac:dyDescent="0.35">
      <c r="A60" s="147" t="s">
        <v>335</v>
      </c>
      <c r="B60" s="147" t="s">
        <v>397</v>
      </c>
      <c r="C60" s="132">
        <v>1364195587.8960187</v>
      </c>
    </row>
    <row r="61" spans="1:3" x14ac:dyDescent="0.35">
      <c r="A61" s="147" t="s">
        <v>335</v>
      </c>
      <c r="B61" s="147" t="s">
        <v>398</v>
      </c>
      <c r="C61" s="132">
        <v>1429181406.4911618</v>
      </c>
    </row>
    <row r="62" spans="1:3" x14ac:dyDescent="0.35">
      <c r="A62" s="147" t="s">
        <v>335</v>
      </c>
      <c r="B62" s="147" t="s">
        <v>399</v>
      </c>
      <c r="C62" s="132">
        <v>1689183166.4429762</v>
      </c>
    </row>
    <row r="63" spans="1:3" x14ac:dyDescent="0.35">
      <c r="A63" s="147" t="s">
        <v>335</v>
      </c>
      <c r="B63" s="147" t="s">
        <v>400</v>
      </c>
      <c r="C63" s="132">
        <v>1819406808.8618355</v>
      </c>
    </row>
    <row r="64" spans="1:3" x14ac:dyDescent="0.35">
      <c r="A64" s="147" t="s">
        <v>335</v>
      </c>
      <c r="B64" s="147" t="s">
        <v>401</v>
      </c>
      <c r="C64" s="132">
        <v>1561507049.2251852</v>
      </c>
    </row>
    <row r="65" spans="1:3" x14ac:dyDescent="0.35">
      <c r="A65" s="147" t="s">
        <v>335</v>
      </c>
      <c r="B65" s="147" t="s">
        <v>402</v>
      </c>
      <c r="C65" s="132">
        <v>1542591985.9612463</v>
      </c>
    </row>
    <row r="66" spans="1:3" x14ac:dyDescent="0.35">
      <c r="A66" s="147" t="s">
        <v>335</v>
      </c>
      <c r="B66" s="147" t="s">
        <v>403</v>
      </c>
      <c r="C66" s="132">
        <v>1320148086.2388155</v>
      </c>
    </row>
    <row r="67" spans="1:3" x14ac:dyDescent="0.35">
      <c r="A67" s="147" t="s">
        <v>335</v>
      </c>
      <c r="B67" s="147" t="s">
        <v>404</v>
      </c>
      <c r="C67" s="132">
        <v>1457830427.1456468</v>
      </c>
    </row>
    <row r="68" spans="1:3" x14ac:dyDescent="0.35">
      <c r="A68" s="147" t="s">
        <v>335</v>
      </c>
      <c r="B68" s="147" t="s">
        <v>405</v>
      </c>
      <c r="C68" s="132">
        <v>1795059807.9754813</v>
      </c>
    </row>
    <row r="69" spans="1:3" x14ac:dyDescent="0.35">
      <c r="A69" s="147" t="s">
        <v>335</v>
      </c>
      <c r="B69" s="147" t="s">
        <v>406</v>
      </c>
      <c r="C69" s="132">
        <v>2283082468.0057392</v>
      </c>
    </row>
    <row r="70" spans="1:3" x14ac:dyDescent="0.35">
      <c r="A70" s="147" t="s">
        <v>335</v>
      </c>
      <c r="B70" s="147" t="s">
        <v>407</v>
      </c>
      <c r="C70" s="132">
        <v>2164480677.20714</v>
      </c>
    </row>
    <row r="71" spans="1:3" x14ac:dyDescent="0.35">
      <c r="A71" s="147" t="s">
        <v>335</v>
      </c>
      <c r="B71" s="147" t="s">
        <v>408</v>
      </c>
      <c r="C71" s="132">
        <v>1658565972.6554074</v>
      </c>
    </row>
    <row r="72" spans="1:3" x14ac:dyDescent="0.35">
      <c r="A72" s="147" t="s">
        <v>335</v>
      </c>
      <c r="B72" s="147" t="s">
        <v>409</v>
      </c>
      <c r="C72" s="132">
        <v>1394707435.398061</v>
      </c>
    </row>
    <row r="73" spans="1:3" x14ac:dyDescent="0.35">
      <c r="A73" s="147" t="s">
        <v>335</v>
      </c>
      <c r="B73" s="147" t="s">
        <v>410</v>
      </c>
      <c r="C73" s="132">
        <v>1462884507.4785652</v>
      </c>
    </row>
    <row r="74" spans="1:3" x14ac:dyDescent="0.35">
      <c r="A74" s="147" t="s">
        <v>335</v>
      </c>
      <c r="B74" s="147" t="s">
        <v>411</v>
      </c>
      <c r="C74" s="132">
        <v>1731330564.2079318</v>
      </c>
    </row>
    <row r="75" spans="1:3" x14ac:dyDescent="0.35">
      <c r="A75" s="147" t="s">
        <v>335</v>
      </c>
      <c r="B75" s="147" t="s">
        <v>412</v>
      </c>
      <c r="C75" s="132">
        <v>1865064018.21808</v>
      </c>
    </row>
    <row r="76" spans="1:3" x14ac:dyDescent="0.35">
      <c r="A76" s="147" t="s">
        <v>335</v>
      </c>
      <c r="B76" s="147" t="s">
        <v>413</v>
      </c>
      <c r="C76" s="132">
        <v>1599748352.994565</v>
      </c>
    </row>
    <row r="77" spans="1:3" x14ac:dyDescent="0.35">
      <c r="A77" s="147" t="s">
        <v>335</v>
      </c>
      <c r="B77" s="147" t="s">
        <v>414</v>
      </c>
      <c r="C77" s="132">
        <v>1579336405.8130801</v>
      </c>
    </row>
    <row r="78" spans="1:3" x14ac:dyDescent="0.35">
      <c r="A78" s="147" t="s">
        <v>335</v>
      </c>
      <c r="B78" s="147" t="s">
        <v>415</v>
      </c>
      <c r="C78" s="132">
        <v>1350288071.8934562</v>
      </c>
    </row>
    <row r="79" spans="1:3" x14ac:dyDescent="0.35">
      <c r="A79" s="147" t="s">
        <v>335</v>
      </c>
      <c r="B79" s="147" t="s">
        <v>416</v>
      </c>
      <c r="C79" s="132">
        <v>1492152740.424521</v>
      </c>
    </row>
    <row r="80" spans="1:3" x14ac:dyDescent="0.35">
      <c r="A80" s="147" t="s">
        <v>335</v>
      </c>
      <c r="B80" s="147" t="s">
        <v>417</v>
      </c>
      <c r="C80" s="132">
        <v>1840146324.3398337</v>
      </c>
    </row>
    <row r="81" spans="1:3" x14ac:dyDescent="0.35">
      <c r="A81" s="147" t="s">
        <v>335</v>
      </c>
      <c r="B81" s="147" t="s">
        <v>418</v>
      </c>
      <c r="C81" s="132">
        <v>2343853924.9832859</v>
      </c>
    </row>
    <row r="82" spans="1:3" x14ac:dyDescent="0.35">
      <c r="A82" s="147" t="s">
        <v>335</v>
      </c>
      <c r="B82" s="147" t="s">
        <v>419</v>
      </c>
      <c r="C82" s="132">
        <v>2220717922.611927</v>
      </c>
    </row>
    <row r="83" spans="1:3" x14ac:dyDescent="0.35">
      <c r="A83" s="147" t="s">
        <v>335</v>
      </c>
      <c r="B83" s="147" t="s">
        <v>420</v>
      </c>
      <c r="C83" s="132">
        <v>1700273881.3209002</v>
      </c>
    </row>
    <row r="84" spans="1:3" x14ac:dyDescent="0.35">
      <c r="A84" s="147" t="s">
        <v>335</v>
      </c>
      <c r="B84" s="147" t="s">
        <v>421</v>
      </c>
      <c r="C84" s="132">
        <v>1426645603.319592</v>
      </c>
    </row>
    <row r="85" spans="1:3" x14ac:dyDescent="0.35">
      <c r="A85" s="147" t="s">
        <v>335</v>
      </c>
      <c r="B85" s="147" t="s">
        <v>422</v>
      </c>
      <c r="C85" s="132">
        <v>1497818115.7180126</v>
      </c>
    </row>
    <row r="86" spans="1:3" x14ac:dyDescent="0.35">
      <c r="A86" s="147" t="s">
        <v>335</v>
      </c>
      <c r="B86" s="147" t="s">
        <v>423</v>
      </c>
      <c r="C86" s="132">
        <v>1774582112.5612607</v>
      </c>
    </row>
    <row r="87" spans="1:3" x14ac:dyDescent="0.35">
      <c r="A87" s="147" t="s">
        <v>335</v>
      </c>
      <c r="B87" s="147" t="s">
        <v>424</v>
      </c>
      <c r="C87" s="132">
        <v>1904731082.4743912</v>
      </c>
    </row>
    <row r="88" spans="1:3" x14ac:dyDescent="0.35">
      <c r="A88" s="147" t="s">
        <v>335</v>
      </c>
      <c r="B88" s="147" t="s">
        <v>425</v>
      </c>
      <c r="C88" s="132">
        <v>1692964795.0935862</v>
      </c>
    </row>
    <row r="89" spans="1:3" x14ac:dyDescent="0.35">
      <c r="A89" s="147" t="s">
        <v>335</v>
      </c>
      <c r="B89" s="147" t="s">
        <v>426</v>
      </c>
      <c r="C89" s="132">
        <v>1633321718.3954787</v>
      </c>
    </row>
    <row r="90" spans="1:3" x14ac:dyDescent="0.35">
      <c r="A90" s="147" t="s">
        <v>335</v>
      </c>
      <c r="B90" s="147" t="s">
        <v>427</v>
      </c>
      <c r="C90" s="132">
        <v>1412937288.1131833</v>
      </c>
    </row>
    <row r="91" spans="1:3" x14ac:dyDescent="0.35">
      <c r="A91" s="147" t="s">
        <v>335</v>
      </c>
      <c r="B91" s="147" t="s">
        <v>428</v>
      </c>
      <c r="C91" s="132">
        <v>1522135688.1644919</v>
      </c>
    </row>
    <row r="92" spans="1:3" x14ac:dyDescent="0.35">
      <c r="A92" s="147" t="s">
        <v>335</v>
      </c>
      <c r="B92" s="147" t="s">
        <v>429</v>
      </c>
      <c r="C92" s="132">
        <v>1894997609.1757207</v>
      </c>
    </row>
    <row r="93" spans="1:3" x14ac:dyDescent="0.35">
      <c r="A93" s="147" t="s">
        <v>335</v>
      </c>
      <c r="B93" s="147" t="s">
        <v>430</v>
      </c>
      <c r="C93" s="132">
        <v>2355523643.3976607</v>
      </c>
    </row>
    <row r="94" spans="1:3" x14ac:dyDescent="0.35">
      <c r="A94" s="147" t="s">
        <v>335</v>
      </c>
      <c r="B94" s="147" t="s">
        <v>431</v>
      </c>
      <c r="C94" s="132">
        <v>2239571523.7672925</v>
      </c>
    </row>
    <row r="95" spans="1:3" x14ac:dyDescent="0.35">
      <c r="A95" s="147" t="s">
        <v>335</v>
      </c>
      <c r="B95" s="147" t="s">
        <v>432</v>
      </c>
      <c r="C95" s="132">
        <v>1729904442.1165566</v>
      </c>
    </row>
    <row r="96" spans="1:3" x14ac:dyDescent="0.35">
      <c r="A96" s="147" t="s">
        <v>335</v>
      </c>
      <c r="B96" s="147" t="s">
        <v>433</v>
      </c>
      <c r="C96" s="132">
        <v>1490732923.5715249</v>
      </c>
    </row>
    <row r="97" spans="1:3" x14ac:dyDescent="0.35">
      <c r="A97" s="147" t="s">
        <v>335</v>
      </c>
      <c r="B97" s="147" t="s">
        <v>434</v>
      </c>
      <c r="C97" s="132">
        <v>1555695215.6033576</v>
      </c>
    </row>
    <row r="98" spans="1:3" x14ac:dyDescent="0.35">
      <c r="A98" s="147" t="s">
        <v>335</v>
      </c>
      <c r="B98" s="147" t="s">
        <v>435</v>
      </c>
      <c r="C98" s="132">
        <v>1830302121.2059786</v>
      </c>
    </row>
    <row r="99" spans="1:3" x14ac:dyDescent="0.35">
      <c r="A99" s="147" t="s">
        <v>335</v>
      </c>
      <c r="B99" s="147" t="s">
        <v>436</v>
      </c>
      <c r="C99" s="132">
        <v>1967262663.8256929</v>
      </c>
    </row>
    <row r="100" spans="1:3" x14ac:dyDescent="0.35">
      <c r="A100" s="147" t="s">
        <v>335</v>
      </c>
      <c r="B100" s="147" t="s">
        <v>437</v>
      </c>
      <c r="C100" s="132">
        <v>1686188433.2475388</v>
      </c>
    </row>
    <row r="101" spans="1:3" x14ac:dyDescent="0.35">
      <c r="A101" s="147" t="s">
        <v>335</v>
      </c>
      <c r="B101" s="147" t="s">
        <v>438</v>
      </c>
      <c r="C101" s="132">
        <v>1663194483.1819818</v>
      </c>
    </row>
    <row r="102" spans="1:3" x14ac:dyDescent="0.35">
      <c r="A102" s="147" t="s">
        <v>335</v>
      </c>
      <c r="B102" s="147" t="s">
        <v>439</v>
      </c>
      <c r="C102" s="132">
        <v>1420279576.77968</v>
      </c>
    </row>
    <row r="103" spans="1:3" x14ac:dyDescent="0.35">
      <c r="A103" s="147" t="s">
        <v>335</v>
      </c>
      <c r="B103" s="147" t="s">
        <v>440</v>
      </c>
      <c r="C103" s="132">
        <v>1570865792.6310377</v>
      </c>
    </row>
    <row r="104" spans="1:3" x14ac:dyDescent="0.35">
      <c r="A104" s="147" t="s">
        <v>335</v>
      </c>
      <c r="B104" s="147" t="s">
        <v>441</v>
      </c>
      <c r="C104" s="132">
        <v>1940958865.9303982</v>
      </c>
    </row>
    <row r="105" spans="1:3" x14ac:dyDescent="0.35">
      <c r="A105" s="147" t="s">
        <v>335</v>
      </c>
      <c r="B105" s="147" t="s">
        <v>442</v>
      </c>
      <c r="C105" s="132">
        <v>2476794488.897459</v>
      </c>
    </row>
    <row r="106" spans="1:3" x14ac:dyDescent="0.35">
      <c r="A106" s="147" t="s">
        <v>335</v>
      </c>
      <c r="B106" s="147" t="s">
        <v>443</v>
      </c>
      <c r="C106" s="132">
        <v>2344742637.449542</v>
      </c>
    </row>
    <row r="107" spans="1:3" x14ac:dyDescent="0.35">
      <c r="A107" s="147" t="s">
        <v>335</v>
      </c>
      <c r="B107" s="147" t="s">
        <v>444</v>
      </c>
      <c r="C107" s="132">
        <v>1793307941.5742316</v>
      </c>
    </row>
    <row r="108" spans="1:3" x14ac:dyDescent="0.35">
      <c r="A108" s="147" t="s">
        <v>335</v>
      </c>
      <c r="B108" s="147" t="s">
        <v>445</v>
      </c>
      <c r="C108" s="132">
        <v>1500781590.8799727</v>
      </c>
    </row>
    <row r="109" spans="1:3" x14ac:dyDescent="0.35">
      <c r="A109" s="147" t="s">
        <v>335</v>
      </c>
      <c r="B109" s="147" t="s">
        <v>446</v>
      </c>
      <c r="C109" s="132">
        <v>1577508160.4511144</v>
      </c>
    </row>
    <row r="110" spans="1:3" x14ac:dyDescent="0.35">
      <c r="A110" s="147" t="s">
        <v>335</v>
      </c>
      <c r="B110" s="147" t="s">
        <v>447</v>
      </c>
      <c r="C110" s="132">
        <v>1871479726.0172389</v>
      </c>
    </row>
    <row r="111" spans="1:3" x14ac:dyDescent="0.35">
      <c r="A111" s="147" t="s">
        <v>335</v>
      </c>
      <c r="B111" s="147" t="s">
        <v>448</v>
      </c>
      <c r="C111" s="132">
        <v>2024289263.995111</v>
      </c>
    </row>
    <row r="112" spans="1:3" x14ac:dyDescent="0.35">
      <c r="A112" s="147" t="s">
        <v>335</v>
      </c>
      <c r="B112" s="147" t="s">
        <v>449</v>
      </c>
      <c r="C112" s="132">
        <v>1734777072.0261457</v>
      </c>
    </row>
    <row r="113" spans="1:3" x14ac:dyDescent="0.35">
      <c r="A113" s="147" t="s">
        <v>335</v>
      </c>
      <c r="B113" s="147" t="s">
        <v>450</v>
      </c>
      <c r="C113" s="132">
        <v>1710620979.5054286</v>
      </c>
    </row>
    <row r="114" spans="1:3" x14ac:dyDescent="0.35">
      <c r="A114" s="147" t="s">
        <v>335</v>
      </c>
      <c r="B114" s="147" t="s">
        <v>451</v>
      </c>
      <c r="C114" s="132">
        <v>1460354398.2965777</v>
      </c>
    </row>
    <row r="115" spans="1:3" x14ac:dyDescent="0.35">
      <c r="A115" s="147" t="s">
        <v>335</v>
      </c>
      <c r="B115" s="147" t="s">
        <v>452</v>
      </c>
      <c r="C115" s="132">
        <v>1615541478.7518058</v>
      </c>
    </row>
    <row r="116" spans="1:3" x14ac:dyDescent="0.35">
      <c r="A116" s="147" t="s">
        <v>335</v>
      </c>
      <c r="B116" s="147" t="s">
        <v>453</v>
      </c>
      <c r="C116" s="132">
        <v>1997150287.8697948</v>
      </c>
    </row>
    <row r="117" spans="1:3" x14ac:dyDescent="0.35">
      <c r="A117" s="147" t="s">
        <v>335</v>
      </c>
      <c r="B117" s="147" t="s">
        <v>454</v>
      </c>
      <c r="C117" s="132">
        <v>2549695003.3149734</v>
      </c>
    </row>
    <row r="118" spans="1:3" x14ac:dyDescent="0.35">
      <c r="A118" s="147" t="s">
        <v>335</v>
      </c>
      <c r="B118" s="147" t="s">
        <v>455</v>
      </c>
      <c r="C118" s="132">
        <v>2413137955.2359457</v>
      </c>
    </row>
    <row r="119" spans="1:3" x14ac:dyDescent="0.35">
      <c r="A119" s="147" t="s">
        <v>335</v>
      </c>
      <c r="B119" s="147" t="s">
        <v>456</v>
      </c>
      <c r="C119" s="132">
        <v>1845033843.0178759</v>
      </c>
    </row>
    <row r="120" spans="1:3" x14ac:dyDescent="0.35">
      <c r="A120" s="147" t="s">
        <v>335</v>
      </c>
      <c r="B120" s="147" t="s">
        <v>457</v>
      </c>
      <c r="C120" s="132">
        <v>1543227183.4539442</v>
      </c>
    </row>
    <row r="121" spans="1:3" x14ac:dyDescent="0.35">
      <c r="A121" s="147" t="s">
        <v>335</v>
      </c>
      <c r="B121" s="147" t="s">
        <v>458</v>
      </c>
      <c r="C121" s="132">
        <v>1622578795.5153196</v>
      </c>
    </row>
    <row r="122" spans="1:3" x14ac:dyDescent="0.35">
      <c r="A122" s="147" t="s">
        <v>335</v>
      </c>
      <c r="B122" s="147" t="s">
        <v>459</v>
      </c>
      <c r="C122" s="132">
        <v>1925563157.0129066</v>
      </c>
    </row>
    <row r="123" spans="1:3" x14ac:dyDescent="0.35">
      <c r="A123" s="147" t="s">
        <v>335</v>
      </c>
      <c r="B123" s="147" t="s">
        <v>460</v>
      </c>
      <c r="C123" s="132">
        <v>2082552325.6879206</v>
      </c>
    </row>
    <row r="124" spans="1:3" x14ac:dyDescent="0.35">
      <c r="A124" s="147" t="s">
        <v>335</v>
      </c>
      <c r="B124" s="147" t="s">
        <v>461</v>
      </c>
      <c r="C124" s="132">
        <v>1784601478.7834806</v>
      </c>
    </row>
    <row r="125" spans="1:3" x14ac:dyDescent="0.35">
      <c r="A125" s="147" t="s">
        <v>335</v>
      </c>
      <c r="B125" s="147" t="s">
        <v>462</v>
      </c>
      <c r="C125" s="132">
        <v>1759393759.2778244</v>
      </c>
    </row>
    <row r="126" spans="1:3" x14ac:dyDescent="0.35">
      <c r="A126" s="147" t="s">
        <v>335</v>
      </c>
      <c r="B126" s="147" t="s">
        <v>463</v>
      </c>
      <c r="C126" s="132">
        <v>1501813963.3862443</v>
      </c>
    </row>
    <row r="127" spans="1:3" x14ac:dyDescent="0.35">
      <c r="A127" s="147" t="s">
        <v>335</v>
      </c>
      <c r="B127" s="147" t="s">
        <v>464</v>
      </c>
      <c r="C127" s="132">
        <v>1661565982.6285641</v>
      </c>
    </row>
    <row r="128" spans="1:3" x14ac:dyDescent="0.35">
      <c r="A128" s="147" t="s">
        <v>335</v>
      </c>
      <c r="B128" s="147" t="s">
        <v>465</v>
      </c>
      <c r="C128" s="132">
        <v>2054525591.9103034</v>
      </c>
    </row>
    <row r="129" spans="1:3" x14ac:dyDescent="0.35">
      <c r="A129" s="147" t="s">
        <v>335</v>
      </c>
      <c r="B129" s="147" t="s">
        <v>466</v>
      </c>
      <c r="C129" s="132">
        <v>2623522523.8129287</v>
      </c>
    </row>
    <row r="130" spans="1:3" x14ac:dyDescent="0.35">
      <c r="A130" s="147" t="s">
        <v>335</v>
      </c>
      <c r="B130" s="147" t="s">
        <v>467</v>
      </c>
      <c r="C130" s="132">
        <v>2482595645.0809431</v>
      </c>
    </row>
    <row r="131" spans="1:3" x14ac:dyDescent="0.35">
      <c r="A131" s="147" t="s">
        <v>335</v>
      </c>
      <c r="B131" s="147" t="s">
        <v>468</v>
      </c>
      <c r="C131" s="132">
        <v>1897776329.900357</v>
      </c>
    </row>
    <row r="132" spans="1:3" x14ac:dyDescent="0.35">
      <c r="A132" s="147" t="s">
        <v>335</v>
      </c>
      <c r="B132" s="147" t="s">
        <v>469</v>
      </c>
      <c r="C132" s="132">
        <v>1587140401.539252</v>
      </c>
    </row>
    <row r="133" spans="1:3" x14ac:dyDescent="0.35">
      <c r="A133" s="147" t="s">
        <v>335</v>
      </c>
      <c r="B133" s="147" t="s">
        <v>470</v>
      </c>
      <c r="C133" s="132">
        <v>1668932042.3935041</v>
      </c>
    </row>
    <row r="134" spans="1:3" x14ac:dyDescent="0.35">
      <c r="A134" s="147" t="s">
        <v>335</v>
      </c>
      <c r="B134" s="147" t="s">
        <v>471</v>
      </c>
      <c r="C134" s="132">
        <v>1980823251.9071352</v>
      </c>
    </row>
    <row r="135" spans="1:3" x14ac:dyDescent="0.35">
      <c r="A135" s="127"/>
      <c r="B135" s="127"/>
      <c r="C135" s="128"/>
    </row>
    <row r="136" spans="1:3" x14ac:dyDescent="0.35">
      <c r="A136" s="127"/>
      <c r="B136" s="127"/>
      <c r="C136" s="128"/>
    </row>
    <row r="137" spans="1:3" x14ac:dyDescent="0.35">
      <c r="A137" s="127"/>
      <c r="B137" s="127"/>
      <c r="C137" s="128"/>
    </row>
    <row r="138" spans="1:3" x14ac:dyDescent="0.35">
      <c r="A138" s="127"/>
      <c r="B138" s="127"/>
      <c r="C138" s="128"/>
    </row>
    <row r="139" spans="1:3" x14ac:dyDescent="0.35">
      <c r="A139" s="127"/>
      <c r="B139" s="127"/>
      <c r="C139" s="128"/>
    </row>
    <row r="140" spans="1:3" x14ac:dyDescent="0.35">
      <c r="A140" s="127"/>
      <c r="B140" s="127"/>
      <c r="C140" s="128"/>
    </row>
    <row r="141" spans="1:3" x14ac:dyDescent="0.35">
      <c r="A141" s="127"/>
      <c r="B141" s="127"/>
      <c r="C141" s="128"/>
    </row>
    <row r="142" spans="1:3" x14ac:dyDescent="0.35">
      <c r="A142" s="127"/>
      <c r="B142" s="127"/>
      <c r="C142" s="128"/>
    </row>
    <row r="143" spans="1:3" x14ac:dyDescent="0.35">
      <c r="A143" s="127"/>
      <c r="B143" s="127"/>
      <c r="C143" s="128"/>
    </row>
  </sheetData>
  <mergeCells count="2">
    <mergeCell ref="C1:C2"/>
    <mergeCell ref="E1:E2"/>
  </mergeCells>
  <phoneticPr fontId="9"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BE236-36B2-455B-9BF7-D0EBE5EBA6FE}">
  <sheetPr codeName="Sheet11">
    <tabColor rgb="FF00FF00"/>
  </sheetPr>
  <dimension ref="A1:G23"/>
  <sheetViews>
    <sheetView workbookViewId="0">
      <selection activeCell="F16" sqref="F16"/>
    </sheetView>
  </sheetViews>
  <sheetFormatPr defaultRowHeight="14.5" x14ac:dyDescent="0.35"/>
  <cols>
    <col min="1" max="1" width="33.54296875" customWidth="1"/>
    <col min="2" max="6" width="12.7265625" customWidth="1"/>
    <col min="7" max="7" width="14.1796875" bestFit="1" customWidth="1"/>
  </cols>
  <sheetData>
    <row r="1" spans="1:7" ht="18.5" x14ac:dyDescent="0.45">
      <c r="G1" s="113" t="s">
        <v>472</v>
      </c>
    </row>
    <row r="3" spans="1:7" ht="18.5" x14ac:dyDescent="0.45">
      <c r="A3" s="57" t="s">
        <v>473</v>
      </c>
      <c r="G3" s="19" t="s">
        <v>474</v>
      </c>
    </row>
    <row r="4" spans="1:7" ht="18.5" x14ac:dyDescent="0.45">
      <c r="A4" s="57" t="s">
        <v>475</v>
      </c>
    </row>
    <row r="5" spans="1:7" ht="18.5" x14ac:dyDescent="0.45">
      <c r="A5" s="57" t="s">
        <v>476</v>
      </c>
    </row>
    <row r="6" spans="1:7" s="31" customFormat="1" ht="15.5" x14ac:dyDescent="0.35">
      <c r="B6" s="20"/>
      <c r="C6" s="20"/>
      <c r="D6" s="20"/>
      <c r="E6" s="20"/>
      <c r="F6" s="20" t="s">
        <v>477</v>
      </c>
      <c r="G6" s="20"/>
    </row>
    <row r="7" spans="1:7" s="31" customFormat="1" ht="15.5" x14ac:dyDescent="0.35">
      <c r="B7" s="20"/>
      <c r="C7" s="20"/>
      <c r="D7" s="20" t="s">
        <v>478</v>
      </c>
      <c r="E7" s="20" t="s">
        <v>192</v>
      </c>
      <c r="F7" s="20" t="s">
        <v>479</v>
      </c>
      <c r="G7" s="20" t="s">
        <v>480</v>
      </c>
    </row>
    <row r="8" spans="1:7" s="31" customFormat="1" ht="15.5" x14ac:dyDescent="0.35">
      <c r="B8" s="20" t="s">
        <v>481</v>
      </c>
      <c r="C8" s="20" t="s">
        <v>482</v>
      </c>
      <c r="D8" s="20" t="s">
        <v>482</v>
      </c>
      <c r="E8" s="20" t="s">
        <v>483</v>
      </c>
      <c r="F8" s="20" t="s">
        <v>482</v>
      </c>
      <c r="G8" s="20" t="s">
        <v>238</v>
      </c>
    </row>
    <row r="9" spans="1:7" s="31" customFormat="1" ht="15.5" x14ac:dyDescent="0.35">
      <c r="A9" s="160"/>
      <c r="B9" s="161"/>
      <c r="C9" s="161"/>
      <c r="D9" s="161"/>
      <c r="E9" s="161"/>
      <c r="F9" s="161"/>
      <c r="G9" s="161"/>
    </row>
    <row r="10" spans="1:7" s="31" customFormat="1" ht="15.5" x14ac:dyDescent="0.35">
      <c r="A10" s="31" t="s">
        <v>484</v>
      </c>
      <c r="B10" s="50">
        <v>0.48099999999999998</v>
      </c>
      <c r="C10" s="162">
        <v>4.5719999999999997E-2</v>
      </c>
      <c r="D10" s="50">
        <f>+B10*C10</f>
        <v>2.1991319999999998E-2</v>
      </c>
      <c r="E10" s="163">
        <v>1</v>
      </c>
      <c r="F10" s="50">
        <f>+D10*E10</f>
        <v>2.1991319999999998E-2</v>
      </c>
    </row>
    <row r="11" spans="1:7" s="31" customFormat="1" ht="15.5" x14ac:dyDescent="0.35">
      <c r="B11" s="50"/>
      <c r="C11" s="162"/>
      <c r="D11" s="50"/>
      <c r="E11" s="164"/>
      <c r="F11" s="50"/>
    </row>
    <row r="12" spans="1:7" s="31" customFormat="1" ht="15.5" x14ac:dyDescent="0.35">
      <c r="A12" s="31" t="s">
        <v>485</v>
      </c>
      <c r="B12" s="165">
        <f>1-B10</f>
        <v>0.51900000000000002</v>
      </c>
      <c r="C12" s="162">
        <v>9.6000000000000002E-2</v>
      </c>
      <c r="D12" s="165">
        <f>+B12*C12</f>
        <v>4.9824E-2</v>
      </c>
      <c r="E12" s="164">
        <f>1/(1-((0.09*(1-0.21)+0.21)))</f>
        <v>1.3910140492418974</v>
      </c>
      <c r="F12" s="165">
        <f>+D12*E12</f>
        <v>6.9305883989428302E-2</v>
      </c>
      <c r="G12" s="165">
        <f>F12*(1-$C$18)</f>
        <v>4.9824000000000007E-2</v>
      </c>
    </row>
    <row r="13" spans="1:7" s="31" customFormat="1" ht="15.5" x14ac:dyDescent="0.35">
      <c r="B13" s="166"/>
      <c r="C13" s="162"/>
      <c r="D13" s="50"/>
    </row>
    <row r="14" spans="1:7" s="31" customFormat="1" ht="15.5" x14ac:dyDescent="0.35">
      <c r="A14" s="31" t="s">
        <v>149</v>
      </c>
      <c r="B14" s="166">
        <f>SUM(B10:B12)</f>
        <v>1</v>
      </c>
      <c r="C14" s="162"/>
      <c r="D14" s="167">
        <f>SUM(D10:D12)</f>
        <v>7.1815320000000002E-2</v>
      </c>
      <c r="F14" s="167">
        <f>ROUND(SUM(F10:F12),4)</f>
        <v>9.1300000000000006E-2</v>
      </c>
      <c r="G14" s="50">
        <f>F14*(1-$C$18)</f>
        <v>6.5635570000000004E-2</v>
      </c>
    </row>
    <row r="15" spans="1:7" s="31" customFormat="1" ht="15.5" x14ac:dyDescent="0.35">
      <c r="C15" s="162"/>
    </row>
    <row r="16" spans="1:7" s="31" customFormat="1" ht="15.5" x14ac:dyDescent="0.35">
      <c r="A16" s="31" t="s">
        <v>486</v>
      </c>
      <c r="D16" s="162">
        <f>D14/12</f>
        <v>5.9846100000000005E-3</v>
      </c>
      <c r="E16" s="162"/>
      <c r="F16" s="168">
        <f>F14/12</f>
        <v>7.6083333333333341E-3</v>
      </c>
    </row>
    <row r="17" spans="1:3" s="31" customFormat="1" ht="16" thickBot="1" x14ac:dyDescent="0.4"/>
    <row r="18" spans="1:3" s="31" customFormat="1" ht="16" thickBot="1" x14ac:dyDescent="0.4">
      <c r="A18" s="31" t="s">
        <v>487</v>
      </c>
      <c r="C18" s="169">
        <f>(0.09)*(1-0.21)+0.21</f>
        <v>0.28110000000000002</v>
      </c>
    </row>
    <row r="19" spans="1:3" s="31" customFormat="1" ht="15.5" x14ac:dyDescent="0.35"/>
    <row r="20" spans="1:3" s="31" customFormat="1" ht="15.5" x14ac:dyDescent="0.35"/>
    <row r="23" spans="1:3" x14ac:dyDescent="0.35">
      <c r="A23" s="15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31AD5-02E8-4757-92E8-A60A486A8142}">
  <sheetPr codeName="Sheet12"/>
  <dimension ref="A1:EX103"/>
  <sheetViews>
    <sheetView workbookViewId="0">
      <pane ySplit="9" topLeftCell="A60" activePane="bottomLeft" state="frozen"/>
      <selection activeCell="G1" sqref="G1"/>
      <selection pane="bottomLeft" activeCell="P81" sqref="P81"/>
    </sheetView>
  </sheetViews>
  <sheetFormatPr defaultRowHeight="14.5" outlineLevelCol="1" x14ac:dyDescent="0.35"/>
  <cols>
    <col min="1" max="1" width="5.7265625" style="1" customWidth="1" outlineLevel="1"/>
    <col min="2" max="2" width="4.1796875" style="1" customWidth="1" outlineLevel="1"/>
    <col min="3" max="3" width="13.81640625" customWidth="1" outlineLevel="1"/>
    <col min="4" max="4" width="16.26953125" customWidth="1" outlineLevel="1"/>
    <col min="5" max="5" width="10.81640625" bestFit="1" customWidth="1"/>
    <col min="6" max="6" width="5.26953125" customWidth="1"/>
    <col min="7" max="7" width="20.81640625" bestFit="1" customWidth="1"/>
    <col min="8" max="8" width="7.7265625" bestFit="1" customWidth="1"/>
    <col min="10" max="10" width="7.54296875" style="1" bestFit="1" customWidth="1"/>
    <col min="11" max="11" width="5.7265625" style="1" customWidth="1"/>
    <col min="12" max="12" width="4.1796875" style="1" customWidth="1"/>
    <col min="13" max="13" width="12.26953125" customWidth="1"/>
    <col min="14" max="14" width="16.26953125" bestFit="1" customWidth="1"/>
    <col min="15" max="16" width="16.26953125" customWidth="1"/>
    <col min="17" max="17" width="16.26953125" bestFit="1" customWidth="1"/>
    <col min="18" max="18" width="5.7265625" customWidth="1"/>
    <col min="19" max="19" width="5.54296875" customWidth="1"/>
    <col min="20" max="31" width="15" bestFit="1" customWidth="1" outlineLevel="1"/>
    <col min="32" max="32" width="16" bestFit="1" customWidth="1"/>
    <col min="33" max="33" width="11.54296875" bestFit="1" customWidth="1"/>
    <col min="34" max="34" width="12.453125" bestFit="1" customWidth="1"/>
    <col min="35" max="35" width="11.54296875" bestFit="1" customWidth="1"/>
    <col min="36" max="41" width="10.54296875" bestFit="1" customWidth="1"/>
    <col min="42" max="42" width="11" bestFit="1" customWidth="1"/>
    <col min="43" max="53" width="10.54296875" bestFit="1" customWidth="1"/>
    <col min="54" max="54" width="11" bestFit="1" customWidth="1"/>
    <col min="55" max="81" width="10.54296875" bestFit="1" customWidth="1"/>
    <col min="82" max="82" width="11.7265625" bestFit="1" customWidth="1"/>
    <col min="83" max="83" width="10.7265625" bestFit="1" customWidth="1"/>
    <col min="84" max="84" width="11.7265625" bestFit="1" customWidth="1"/>
    <col min="85" max="85" width="10.7265625" bestFit="1" customWidth="1"/>
    <col min="86" max="86" width="11.7265625" bestFit="1" customWidth="1"/>
    <col min="87" max="87" width="10.7265625" bestFit="1" customWidth="1"/>
    <col min="88" max="88" width="11.7265625" bestFit="1" customWidth="1"/>
    <col min="89" max="89" width="10.7265625" bestFit="1" customWidth="1"/>
    <col min="90" max="90" width="11.7265625" bestFit="1" customWidth="1"/>
    <col min="91" max="91" width="10.7265625" bestFit="1" customWidth="1"/>
    <col min="92" max="92" width="11.7265625" bestFit="1" customWidth="1"/>
    <col min="93" max="93" width="10.7265625" bestFit="1" customWidth="1"/>
    <col min="94" max="94" width="11.7265625" bestFit="1" customWidth="1"/>
    <col min="95" max="95" width="10.7265625" bestFit="1" customWidth="1"/>
    <col min="96" max="96" width="11.7265625" bestFit="1" customWidth="1"/>
    <col min="97" max="97" width="10.7265625" bestFit="1" customWidth="1"/>
    <col min="98" max="98" width="11.7265625" bestFit="1" customWidth="1"/>
    <col min="99" max="99" width="10.7265625" bestFit="1" customWidth="1"/>
    <col min="100" max="100" width="11.7265625" bestFit="1" customWidth="1"/>
    <col min="101" max="101" width="10.7265625" bestFit="1" customWidth="1"/>
    <col min="102" max="102" width="11.7265625" bestFit="1" customWidth="1"/>
    <col min="103" max="103" width="10.7265625" bestFit="1" customWidth="1"/>
    <col min="104" max="104" width="11.7265625" bestFit="1" customWidth="1"/>
    <col min="105" max="105" width="10.7265625" bestFit="1" customWidth="1"/>
    <col min="106" max="106" width="11.7265625" bestFit="1" customWidth="1"/>
    <col min="107" max="107" width="10.7265625" bestFit="1" customWidth="1"/>
    <col min="108" max="108" width="11.7265625" bestFit="1" customWidth="1"/>
    <col min="109" max="109" width="10.7265625" bestFit="1" customWidth="1"/>
    <col min="110" max="110" width="11.7265625" bestFit="1" customWidth="1"/>
    <col min="111" max="111" width="10.7265625" bestFit="1" customWidth="1"/>
    <col min="112" max="112" width="11.7265625" bestFit="1" customWidth="1"/>
    <col min="113" max="113" width="10.7265625" bestFit="1" customWidth="1"/>
    <col min="114" max="114" width="11.7265625" bestFit="1" customWidth="1"/>
    <col min="115" max="115" width="10.7265625" bestFit="1" customWidth="1"/>
    <col min="116" max="116" width="11.7265625" bestFit="1" customWidth="1"/>
    <col min="117" max="117" width="10.7265625" bestFit="1" customWidth="1"/>
    <col min="118" max="118" width="11.7265625" bestFit="1" customWidth="1"/>
    <col min="119" max="119" width="10.7265625" bestFit="1" customWidth="1"/>
    <col min="120" max="120" width="11.7265625" bestFit="1" customWidth="1"/>
    <col min="121" max="121" width="10.7265625" bestFit="1" customWidth="1"/>
    <col min="122" max="122" width="11.7265625" bestFit="1" customWidth="1"/>
    <col min="123" max="123" width="10.7265625" bestFit="1" customWidth="1"/>
    <col min="124" max="124" width="11.7265625" bestFit="1" customWidth="1"/>
    <col min="125" max="125" width="10.7265625" bestFit="1" customWidth="1"/>
    <col min="126" max="126" width="11.7265625" bestFit="1" customWidth="1"/>
    <col min="127" max="127" width="10.7265625" bestFit="1" customWidth="1"/>
    <col min="128" max="128" width="11.7265625" bestFit="1" customWidth="1"/>
    <col min="129" max="129" width="10.7265625" bestFit="1" customWidth="1"/>
    <col min="130" max="130" width="11.7265625" bestFit="1" customWidth="1"/>
    <col min="131" max="131" width="10.7265625" bestFit="1" customWidth="1"/>
    <col min="132" max="132" width="11.7265625" bestFit="1" customWidth="1"/>
    <col min="133" max="133" width="10.7265625" bestFit="1" customWidth="1"/>
    <col min="134" max="134" width="11.7265625" bestFit="1" customWidth="1"/>
    <col min="135" max="135" width="10.7265625" bestFit="1" customWidth="1"/>
    <col min="136" max="136" width="11.7265625" bestFit="1" customWidth="1"/>
    <col min="137" max="137" width="10.7265625" bestFit="1" customWidth="1"/>
    <col min="138" max="138" width="11.7265625" bestFit="1" customWidth="1"/>
    <col min="139" max="139" width="10.7265625" bestFit="1" customWidth="1"/>
    <col min="140" max="140" width="11.7265625" bestFit="1" customWidth="1"/>
    <col min="141" max="141" width="10.7265625" bestFit="1" customWidth="1"/>
    <col min="142" max="148" width="10.26953125" bestFit="1" customWidth="1"/>
    <col min="153" max="153" width="15" bestFit="1" customWidth="1"/>
    <col min="154" max="154" width="16" bestFit="1" customWidth="1"/>
  </cols>
  <sheetData>
    <row r="1" spans="1:154" x14ac:dyDescent="0.35">
      <c r="C1" s="172"/>
      <c r="E1" s="2" t="s">
        <v>488</v>
      </c>
      <c r="G1" s="436" t="s">
        <v>489</v>
      </c>
      <c r="H1" s="437"/>
      <c r="I1" s="438"/>
      <c r="M1" s="172"/>
      <c r="P1" s="53"/>
      <c r="R1" s="1"/>
      <c r="S1" s="1"/>
      <c r="T1" s="53"/>
      <c r="U1" s="173"/>
      <c r="W1" s="174"/>
    </row>
    <row r="2" spans="1:154" x14ac:dyDescent="0.35">
      <c r="D2" s="175"/>
      <c r="E2" s="176" t="s">
        <v>490</v>
      </c>
      <c r="G2" s="177" t="s">
        <v>491</v>
      </c>
      <c r="H2" s="178">
        <v>12</v>
      </c>
      <c r="I2" s="179" t="s">
        <v>492</v>
      </c>
      <c r="N2" s="175"/>
      <c r="P2" s="180"/>
      <c r="Q2" s="172"/>
      <c r="R2" s="172"/>
      <c r="S2" s="172"/>
      <c r="T2" s="53"/>
      <c r="U2" s="173"/>
    </row>
    <row r="3" spans="1:154" x14ac:dyDescent="0.35">
      <c r="D3" s="172"/>
      <c r="E3" s="2" t="s">
        <v>493</v>
      </c>
      <c r="G3" s="177" t="s">
        <v>494</v>
      </c>
      <c r="H3" s="178">
        <v>2025</v>
      </c>
      <c r="I3" s="181">
        <f>+H3+(H2*0.01)</f>
        <v>2025.12</v>
      </c>
      <c r="N3" s="172"/>
      <c r="O3" s="172"/>
      <c r="Q3" s="182"/>
      <c r="R3" s="183"/>
      <c r="S3" s="183"/>
      <c r="U3" s="173"/>
    </row>
    <row r="4" spans="1:154" x14ac:dyDescent="0.35">
      <c r="C4" s="172"/>
      <c r="D4" s="172"/>
      <c r="E4" s="2" t="s">
        <v>204</v>
      </c>
      <c r="G4" s="184"/>
      <c r="H4" s="171"/>
      <c r="I4" s="185"/>
      <c r="M4" s="172"/>
      <c r="N4" s="172"/>
      <c r="U4" s="173"/>
      <c r="AB4" s="172"/>
      <c r="AC4" s="172"/>
    </row>
    <row r="5" spans="1:154" x14ac:dyDescent="0.35">
      <c r="C5" s="172"/>
      <c r="E5" s="2" t="s">
        <v>495</v>
      </c>
      <c r="G5" s="177" t="s">
        <v>496</v>
      </c>
      <c r="H5" s="178">
        <v>10</v>
      </c>
      <c r="I5" s="186" t="s">
        <v>497</v>
      </c>
      <c r="M5" s="172"/>
      <c r="O5" s="172"/>
      <c r="P5" s="13"/>
      <c r="U5" s="13"/>
      <c r="AB5" s="172"/>
      <c r="AC5" s="172"/>
    </row>
    <row r="6" spans="1:154" ht="15" thickBot="1" x14ac:dyDescent="0.4">
      <c r="E6" s="2" t="s">
        <v>498</v>
      </c>
      <c r="G6" s="187" t="s">
        <v>499</v>
      </c>
      <c r="H6" s="188">
        <f>+H5*12</f>
        <v>120</v>
      </c>
      <c r="I6" s="189" t="s">
        <v>500</v>
      </c>
      <c r="AC6" s="172"/>
    </row>
    <row r="7" spans="1:154" ht="15" thickBot="1" x14ac:dyDescent="0.4">
      <c r="A7" s="267" t="s">
        <v>501</v>
      </c>
      <c r="B7" s="268"/>
      <c r="C7" s="268"/>
      <c r="D7" s="269"/>
      <c r="J7" s="190"/>
      <c r="K7" s="190" t="str">
        <f>"Summary Calculations through "&amp;H2&amp;"/"&amp;VLOOKUP($H2,Calendar_Days_Look_Up_Table,3)&amp;"/"&amp;$H3</f>
        <v>Summary Calculations through 12/31/2025</v>
      </c>
      <c r="L7" s="191"/>
      <c r="M7" s="191"/>
      <c r="N7" s="191"/>
      <c r="O7" s="191"/>
      <c r="P7" s="191"/>
      <c r="Q7" s="191"/>
      <c r="R7" s="191"/>
      <c r="S7" s="191"/>
      <c r="T7" s="190" t="str">
        <f>H3&amp;" Amortization by Month"</f>
        <v>2025 Amortization by Month</v>
      </c>
      <c r="U7" s="191"/>
      <c r="V7" s="191"/>
      <c r="W7" s="191"/>
      <c r="X7" s="191"/>
      <c r="Y7" s="191"/>
      <c r="Z7" s="191"/>
      <c r="AA7" s="191"/>
      <c r="AB7" s="191"/>
      <c r="AC7" s="191"/>
      <c r="AD7" s="191"/>
      <c r="AE7" s="191"/>
      <c r="AF7" s="192"/>
    </row>
    <row r="8" spans="1:154" ht="26.5" thickBot="1" x14ac:dyDescent="0.4">
      <c r="A8" s="270" t="s">
        <v>502</v>
      </c>
      <c r="B8" s="271"/>
      <c r="C8" s="271"/>
      <c r="D8" s="272"/>
      <c r="F8" s="190" t="s">
        <v>503</v>
      </c>
      <c r="G8" s="193"/>
      <c r="H8" s="192"/>
      <c r="J8" s="270"/>
      <c r="K8" s="270" t="s">
        <v>502</v>
      </c>
      <c r="L8" s="271"/>
      <c r="M8" s="271"/>
      <c r="N8" s="271"/>
      <c r="O8" s="271"/>
      <c r="P8" s="271"/>
      <c r="Q8" s="272"/>
      <c r="R8" s="273" t="s">
        <v>504</v>
      </c>
      <c r="S8" s="274"/>
      <c r="T8" s="275">
        <v>1</v>
      </c>
      <c r="U8" s="275">
        <f>+T8+1</f>
        <v>2</v>
      </c>
      <c r="V8" s="275">
        <f t="shared" ref="V8:AE8" si="0">+U8+1</f>
        <v>3</v>
      </c>
      <c r="W8" s="275">
        <f t="shared" si="0"/>
        <v>4</v>
      </c>
      <c r="X8" s="275">
        <f t="shared" si="0"/>
        <v>5</v>
      </c>
      <c r="Y8" s="275">
        <f t="shared" si="0"/>
        <v>6</v>
      </c>
      <c r="Z8" s="275">
        <f t="shared" si="0"/>
        <v>7</v>
      </c>
      <c r="AA8" s="275">
        <f t="shared" si="0"/>
        <v>8</v>
      </c>
      <c r="AB8" s="275">
        <f t="shared" si="0"/>
        <v>9</v>
      </c>
      <c r="AC8" s="275">
        <f t="shared" si="0"/>
        <v>10</v>
      </c>
      <c r="AD8" s="275">
        <f t="shared" si="0"/>
        <v>11</v>
      </c>
      <c r="AE8" s="275">
        <f t="shared" si="0"/>
        <v>12</v>
      </c>
      <c r="AF8" s="275">
        <f>+AE8+1</f>
        <v>13</v>
      </c>
      <c r="AG8" t="s">
        <v>505</v>
      </c>
      <c r="AH8" t="s">
        <v>506</v>
      </c>
      <c r="AI8" t="s">
        <v>506</v>
      </c>
      <c r="AJ8" t="s">
        <v>506</v>
      </c>
      <c r="AK8" t="s">
        <v>506</v>
      </c>
      <c r="AL8" t="s">
        <v>506</v>
      </c>
      <c r="AM8" t="s">
        <v>506</v>
      </c>
      <c r="AN8" t="s">
        <v>506</v>
      </c>
      <c r="AO8" t="s">
        <v>506</v>
      </c>
      <c r="AP8" t="s">
        <v>506</v>
      </c>
      <c r="AQ8" t="s">
        <v>506</v>
      </c>
      <c r="AR8" t="s">
        <v>506</v>
      </c>
      <c r="AS8" t="s">
        <v>506</v>
      </c>
      <c r="AT8" t="s">
        <v>507</v>
      </c>
      <c r="AU8" t="s">
        <v>507</v>
      </c>
      <c r="AV8" t="s">
        <v>507</v>
      </c>
      <c r="AW8" t="s">
        <v>507</v>
      </c>
      <c r="AX8" t="s">
        <v>507</v>
      </c>
      <c r="AY8" t="s">
        <v>507</v>
      </c>
      <c r="AZ8" t="s">
        <v>507</v>
      </c>
      <c r="BA8" t="s">
        <v>507</v>
      </c>
      <c r="BB8" t="s">
        <v>507</v>
      </c>
      <c r="BC8" t="s">
        <v>507</v>
      </c>
      <c r="BD8" t="s">
        <v>507</v>
      </c>
      <c r="BE8" t="s">
        <v>507</v>
      </c>
      <c r="BF8" t="s">
        <v>508</v>
      </c>
      <c r="BG8" t="s">
        <v>508</v>
      </c>
      <c r="BH8" t="s">
        <v>508</v>
      </c>
      <c r="BI8" t="s">
        <v>508</v>
      </c>
      <c r="BJ8" t="s">
        <v>508</v>
      </c>
      <c r="BK8" t="s">
        <v>508</v>
      </c>
      <c r="BL8" t="s">
        <v>508</v>
      </c>
      <c r="BM8" t="s">
        <v>508</v>
      </c>
      <c r="BN8" t="s">
        <v>508</v>
      </c>
      <c r="BO8" t="s">
        <v>508</v>
      </c>
      <c r="BP8" t="s">
        <v>508</v>
      </c>
      <c r="BQ8" t="s">
        <v>508</v>
      </c>
      <c r="BR8" t="s">
        <v>509</v>
      </c>
      <c r="BS8" t="s">
        <v>509</v>
      </c>
      <c r="BT8" t="s">
        <v>509</v>
      </c>
      <c r="BU8" t="s">
        <v>509</v>
      </c>
      <c r="BV8" t="s">
        <v>509</v>
      </c>
      <c r="BW8" t="s">
        <v>509</v>
      </c>
      <c r="BX8" t="s">
        <v>509</v>
      </c>
      <c r="BY8" t="s">
        <v>509</v>
      </c>
      <c r="BZ8" t="s">
        <v>509</v>
      </c>
      <c r="CA8" t="s">
        <v>509</v>
      </c>
      <c r="CB8" t="s">
        <v>509</v>
      </c>
      <c r="CC8" t="s">
        <v>509</v>
      </c>
      <c r="CD8" t="s">
        <v>510</v>
      </c>
      <c r="CE8" t="s">
        <v>510</v>
      </c>
      <c r="CF8" t="s">
        <v>510</v>
      </c>
      <c r="CG8" t="s">
        <v>510</v>
      </c>
      <c r="CH8" t="s">
        <v>510</v>
      </c>
      <c r="CI8" t="s">
        <v>510</v>
      </c>
      <c r="CJ8" t="s">
        <v>510</v>
      </c>
      <c r="CK8" t="s">
        <v>510</v>
      </c>
      <c r="CL8" t="s">
        <v>510</v>
      </c>
      <c r="CM8" t="s">
        <v>510</v>
      </c>
      <c r="CN8" t="s">
        <v>510</v>
      </c>
      <c r="CO8" t="s">
        <v>510</v>
      </c>
      <c r="CP8" t="s">
        <v>511</v>
      </c>
      <c r="CQ8" t="s">
        <v>511</v>
      </c>
      <c r="CR8" t="s">
        <v>511</v>
      </c>
      <c r="CS8" t="s">
        <v>511</v>
      </c>
      <c r="CT8" t="s">
        <v>511</v>
      </c>
      <c r="CU8" t="s">
        <v>511</v>
      </c>
      <c r="CV8" t="s">
        <v>511</v>
      </c>
      <c r="CW8" t="s">
        <v>511</v>
      </c>
      <c r="CX8" t="s">
        <v>511</v>
      </c>
      <c r="CY8" t="s">
        <v>511</v>
      </c>
      <c r="CZ8" t="s">
        <v>511</v>
      </c>
      <c r="DA8" t="s">
        <v>511</v>
      </c>
      <c r="DB8" t="s">
        <v>512</v>
      </c>
      <c r="DC8" t="str">
        <f>DB8</f>
        <v>YR 2032</v>
      </c>
      <c r="DD8" t="str">
        <f t="shared" ref="DD8:DM8" si="1">DC8</f>
        <v>YR 2032</v>
      </c>
      <c r="DE8" t="str">
        <f t="shared" si="1"/>
        <v>YR 2032</v>
      </c>
      <c r="DF8" t="str">
        <f t="shared" si="1"/>
        <v>YR 2032</v>
      </c>
      <c r="DG8" t="str">
        <f t="shared" si="1"/>
        <v>YR 2032</v>
      </c>
      <c r="DH8" t="str">
        <f t="shared" si="1"/>
        <v>YR 2032</v>
      </c>
      <c r="DI8" t="str">
        <f t="shared" si="1"/>
        <v>YR 2032</v>
      </c>
      <c r="DJ8" t="str">
        <f t="shared" si="1"/>
        <v>YR 2032</v>
      </c>
      <c r="DK8" t="str">
        <f t="shared" si="1"/>
        <v>YR 2032</v>
      </c>
      <c r="DL8" t="str">
        <f t="shared" si="1"/>
        <v>YR 2032</v>
      </c>
      <c r="DM8" t="str">
        <f t="shared" si="1"/>
        <v>YR 2032</v>
      </c>
      <c r="DN8" t="s">
        <v>513</v>
      </c>
      <c r="DO8" t="str">
        <f>DN8</f>
        <v>YR 2033</v>
      </c>
      <c r="DP8" t="str">
        <f t="shared" ref="DP8:DY8" si="2">DO8</f>
        <v>YR 2033</v>
      </c>
      <c r="DQ8" t="str">
        <f t="shared" si="2"/>
        <v>YR 2033</v>
      </c>
      <c r="DR8" t="str">
        <f t="shared" si="2"/>
        <v>YR 2033</v>
      </c>
      <c r="DS8" t="str">
        <f t="shared" si="2"/>
        <v>YR 2033</v>
      </c>
      <c r="DT8" t="str">
        <f t="shared" si="2"/>
        <v>YR 2033</v>
      </c>
      <c r="DU8" t="str">
        <f t="shared" si="2"/>
        <v>YR 2033</v>
      </c>
      <c r="DV8" t="str">
        <f t="shared" si="2"/>
        <v>YR 2033</v>
      </c>
      <c r="DW8" t="str">
        <f t="shared" si="2"/>
        <v>YR 2033</v>
      </c>
      <c r="DX8" t="str">
        <f t="shared" si="2"/>
        <v>YR 2033</v>
      </c>
      <c r="DY8" t="str">
        <f t="shared" si="2"/>
        <v>YR 2033</v>
      </c>
      <c r="DZ8" t="s">
        <v>514</v>
      </c>
      <c r="EA8" t="str">
        <f>DZ8</f>
        <v>YR 2034</v>
      </c>
      <c r="EB8" t="str">
        <f t="shared" ref="EB8:EK8" si="3">EA8</f>
        <v>YR 2034</v>
      </c>
      <c r="EC8" t="str">
        <f t="shared" si="3"/>
        <v>YR 2034</v>
      </c>
      <c r="ED8" t="str">
        <f t="shared" si="3"/>
        <v>YR 2034</v>
      </c>
      <c r="EE8" t="str">
        <f t="shared" si="3"/>
        <v>YR 2034</v>
      </c>
      <c r="EF8" t="str">
        <f t="shared" si="3"/>
        <v>YR 2034</v>
      </c>
      <c r="EG8" t="str">
        <f t="shared" si="3"/>
        <v>YR 2034</v>
      </c>
      <c r="EH8" t="str">
        <f t="shared" si="3"/>
        <v>YR 2034</v>
      </c>
      <c r="EI8" t="str">
        <f t="shared" si="3"/>
        <v>YR 2034</v>
      </c>
      <c r="EJ8" t="str">
        <f t="shared" si="3"/>
        <v>YR 2034</v>
      </c>
      <c r="EK8" t="str">
        <f t="shared" si="3"/>
        <v>YR 2034</v>
      </c>
      <c r="EL8" t="s">
        <v>515</v>
      </c>
      <c r="EM8" t="str">
        <f>EL8</f>
        <v>YR 2035</v>
      </c>
      <c r="EN8" t="str">
        <f t="shared" ref="EN8:EU8" si="4">EM8</f>
        <v>YR 2035</v>
      </c>
      <c r="EO8" t="str">
        <f t="shared" si="4"/>
        <v>YR 2035</v>
      </c>
      <c r="EP8" t="str">
        <f t="shared" si="4"/>
        <v>YR 2035</v>
      </c>
      <c r="EQ8" t="str">
        <f t="shared" si="4"/>
        <v>YR 2035</v>
      </c>
      <c r="ER8" t="str">
        <f t="shared" si="4"/>
        <v>YR 2035</v>
      </c>
      <c r="ES8" t="str">
        <f t="shared" si="4"/>
        <v>YR 2035</v>
      </c>
      <c r="ET8" t="str">
        <f t="shared" si="4"/>
        <v>YR 2035</v>
      </c>
      <c r="EU8" t="str">
        <f t="shared" si="4"/>
        <v>YR 2035</v>
      </c>
    </row>
    <row r="9" spans="1:154" ht="42" customHeight="1" thickBot="1" x14ac:dyDescent="0.4">
      <c r="A9" s="276" t="s">
        <v>156</v>
      </c>
      <c r="B9" s="276" t="s">
        <v>334</v>
      </c>
      <c r="C9" s="276" t="s">
        <v>516</v>
      </c>
      <c r="D9" s="276" t="s">
        <v>517</v>
      </c>
      <c r="F9" s="276" t="s">
        <v>518</v>
      </c>
      <c r="G9" s="276" t="s">
        <v>519</v>
      </c>
      <c r="H9" s="276" t="s">
        <v>520</v>
      </c>
      <c r="J9" s="276" t="s">
        <v>521</v>
      </c>
      <c r="K9" s="276" t="s">
        <v>156</v>
      </c>
      <c r="L9" s="276" t="s">
        <v>334</v>
      </c>
      <c r="M9" s="276" t="s">
        <v>516</v>
      </c>
      <c r="N9" s="276" t="s">
        <v>517</v>
      </c>
      <c r="O9" s="276" t="str">
        <f>"Cumulative Amortization @ "&amp;$H2&amp;"/"&amp;VLOOKUP($H2,Calendar_Days_Look_Up_Table,3)&amp;"/"&amp;$H3</f>
        <v>Cumulative Amortization @ 12/31/2025</v>
      </c>
      <c r="P9" s="276" t="str">
        <f>"Unamortized Balance @ "&amp;$H2&amp;"/"&amp;VLOOKUP($H2,Calendar_Days_Look_Up_Table,3)&amp;"/"&amp;$H3</f>
        <v>Unamortized Balance @ 12/31/2025</v>
      </c>
      <c r="Q9" s="276" t="s">
        <v>522</v>
      </c>
      <c r="R9" s="276" t="s">
        <v>156</v>
      </c>
      <c r="S9" s="276" t="s">
        <v>203</v>
      </c>
      <c r="T9" s="276" t="s">
        <v>162</v>
      </c>
      <c r="U9" s="276" t="s">
        <v>163</v>
      </c>
      <c r="V9" s="276" t="s">
        <v>164</v>
      </c>
      <c r="W9" s="276" t="s">
        <v>165</v>
      </c>
      <c r="X9" s="276" t="s">
        <v>166</v>
      </c>
      <c r="Y9" s="276" t="s">
        <v>304</v>
      </c>
      <c r="Z9" s="276" t="s">
        <v>343</v>
      </c>
      <c r="AA9" s="276" t="s">
        <v>169</v>
      </c>
      <c r="AB9" s="276" t="s">
        <v>346</v>
      </c>
      <c r="AC9" s="276" t="s">
        <v>171</v>
      </c>
      <c r="AD9" s="276" t="s">
        <v>172</v>
      </c>
      <c r="AE9" s="276" t="s">
        <v>173</v>
      </c>
      <c r="AF9" s="276" t="s">
        <v>301</v>
      </c>
      <c r="AG9" s="401" t="s">
        <v>523</v>
      </c>
      <c r="AH9" s="402" t="s">
        <v>524</v>
      </c>
      <c r="AI9" s="403" t="s">
        <v>525</v>
      </c>
      <c r="AJ9" s="403" t="s">
        <v>302</v>
      </c>
      <c r="AK9" s="403" t="s">
        <v>303</v>
      </c>
      <c r="AL9" s="403" t="s">
        <v>166</v>
      </c>
      <c r="AM9" s="403" t="s">
        <v>304</v>
      </c>
      <c r="AN9" s="403" t="s">
        <v>343</v>
      </c>
      <c r="AO9" s="403" t="s">
        <v>526</v>
      </c>
      <c r="AP9" s="403" t="s">
        <v>527</v>
      </c>
      <c r="AQ9" s="403" t="s">
        <v>528</v>
      </c>
      <c r="AR9" s="403" t="s">
        <v>529</v>
      </c>
      <c r="AS9" s="404" t="s">
        <v>523</v>
      </c>
      <c r="AT9" s="402" t="s">
        <v>524</v>
      </c>
      <c r="AU9" s="403" t="s">
        <v>525</v>
      </c>
      <c r="AV9" s="403" t="s">
        <v>302</v>
      </c>
      <c r="AW9" s="403" t="s">
        <v>303</v>
      </c>
      <c r="AX9" s="403" t="s">
        <v>166</v>
      </c>
      <c r="AY9" s="403" t="s">
        <v>304</v>
      </c>
      <c r="AZ9" s="403" t="s">
        <v>343</v>
      </c>
      <c r="BA9" s="403" t="s">
        <v>526</v>
      </c>
      <c r="BB9" s="403" t="s">
        <v>527</v>
      </c>
      <c r="BC9" s="403" t="s">
        <v>528</v>
      </c>
      <c r="BD9" s="403" t="s">
        <v>529</v>
      </c>
      <c r="BE9" s="404" t="s">
        <v>523</v>
      </c>
      <c r="BF9" s="402" t="s">
        <v>524</v>
      </c>
      <c r="BG9" s="403" t="s">
        <v>525</v>
      </c>
      <c r="BH9" s="403" t="s">
        <v>302</v>
      </c>
      <c r="BI9" s="403" t="s">
        <v>303</v>
      </c>
      <c r="BJ9" s="403" t="s">
        <v>166</v>
      </c>
      <c r="BK9" s="403" t="s">
        <v>304</v>
      </c>
      <c r="BL9" s="403" t="s">
        <v>343</v>
      </c>
      <c r="BM9" s="403" t="s">
        <v>526</v>
      </c>
      <c r="BN9" s="403" t="s">
        <v>527</v>
      </c>
      <c r="BO9" s="403" t="s">
        <v>528</v>
      </c>
      <c r="BP9" s="403" t="s">
        <v>529</v>
      </c>
      <c r="BQ9" s="404" t="s">
        <v>523</v>
      </c>
      <c r="BR9" s="402" t="s">
        <v>524</v>
      </c>
      <c r="BS9" s="403" t="s">
        <v>525</v>
      </c>
      <c r="BT9" s="403" t="s">
        <v>302</v>
      </c>
      <c r="BU9" s="403" t="s">
        <v>303</v>
      </c>
      <c r="BV9" s="403" t="s">
        <v>166</v>
      </c>
      <c r="BW9" s="403" t="s">
        <v>304</v>
      </c>
      <c r="BX9" s="403" t="s">
        <v>343</v>
      </c>
      <c r="BY9" s="403" t="s">
        <v>526</v>
      </c>
      <c r="BZ9" s="403" t="s">
        <v>527</v>
      </c>
      <c r="CA9" s="403" t="s">
        <v>528</v>
      </c>
      <c r="CB9" s="403" t="s">
        <v>529</v>
      </c>
      <c r="CC9" s="404" t="s">
        <v>523</v>
      </c>
      <c r="CD9" s="402" t="s">
        <v>524</v>
      </c>
      <c r="CE9" s="403" t="s">
        <v>525</v>
      </c>
      <c r="CF9" s="403" t="s">
        <v>302</v>
      </c>
      <c r="CG9" s="403" t="s">
        <v>303</v>
      </c>
      <c r="CH9" s="403" t="s">
        <v>166</v>
      </c>
      <c r="CI9" s="403" t="s">
        <v>304</v>
      </c>
      <c r="CJ9" s="403" t="s">
        <v>343</v>
      </c>
      <c r="CK9" s="403" t="s">
        <v>526</v>
      </c>
      <c r="CL9" s="403" t="s">
        <v>527</v>
      </c>
      <c r="CM9" s="403" t="s">
        <v>528</v>
      </c>
      <c r="CN9" s="403" t="s">
        <v>529</v>
      </c>
      <c r="CO9" s="404" t="s">
        <v>523</v>
      </c>
      <c r="CP9" s="402" t="s">
        <v>524</v>
      </c>
      <c r="CQ9" s="403" t="s">
        <v>525</v>
      </c>
      <c r="CR9" s="403" t="s">
        <v>302</v>
      </c>
      <c r="CS9" s="403" t="s">
        <v>303</v>
      </c>
      <c r="CT9" s="403" t="s">
        <v>166</v>
      </c>
      <c r="CU9" s="403" t="s">
        <v>304</v>
      </c>
      <c r="CV9" s="403" t="s">
        <v>343</v>
      </c>
      <c r="CW9" s="403" t="s">
        <v>526</v>
      </c>
      <c r="CX9" s="403" t="s">
        <v>527</v>
      </c>
      <c r="CY9" s="403" t="s">
        <v>528</v>
      </c>
      <c r="CZ9" s="403" t="s">
        <v>529</v>
      </c>
      <c r="DA9" s="404" t="s">
        <v>523</v>
      </c>
      <c r="DB9" s="402" t="s">
        <v>524</v>
      </c>
      <c r="DC9" s="403" t="s">
        <v>525</v>
      </c>
      <c r="DD9" s="403" t="s">
        <v>302</v>
      </c>
      <c r="DE9" s="403" t="s">
        <v>303</v>
      </c>
      <c r="DF9" s="403" t="s">
        <v>166</v>
      </c>
      <c r="DG9" s="403" t="s">
        <v>304</v>
      </c>
      <c r="DH9" s="403" t="s">
        <v>343</v>
      </c>
      <c r="DI9" s="403" t="s">
        <v>526</v>
      </c>
      <c r="DJ9" s="403" t="s">
        <v>527</v>
      </c>
      <c r="DK9" s="403" t="s">
        <v>528</v>
      </c>
      <c r="DL9" s="403" t="s">
        <v>529</v>
      </c>
      <c r="DM9" s="404" t="s">
        <v>523</v>
      </c>
      <c r="DN9" s="402" t="s">
        <v>524</v>
      </c>
      <c r="DO9" s="403" t="s">
        <v>525</v>
      </c>
      <c r="DP9" s="403" t="s">
        <v>302</v>
      </c>
      <c r="DQ9" s="403" t="s">
        <v>303</v>
      </c>
      <c r="DR9" s="403" t="s">
        <v>166</v>
      </c>
      <c r="DS9" s="403" t="s">
        <v>304</v>
      </c>
      <c r="DT9" s="403" t="s">
        <v>343</v>
      </c>
      <c r="DU9" s="403" t="s">
        <v>526</v>
      </c>
      <c r="DV9" s="403" t="s">
        <v>527</v>
      </c>
      <c r="DW9" s="403" t="s">
        <v>528</v>
      </c>
      <c r="DX9" s="403" t="s">
        <v>529</v>
      </c>
      <c r="DY9" s="404" t="s">
        <v>523</v>
      </c>
      <c r="DZ9" s="402" t="s">
        <v>524</v>
      </c>
      <c r="EA9" s="403" t="s">
        <v>525</v>
      </c>
      <c r="EB9" s="403" t="s">
        <v>302</v>
      </c>
      <c r="EC9" s="403" t="s">
        <v>303</v>
      </c>
      <c r="ED9" s="403" t="s">
        <v>166</v>
      </c>
      <c r="EE9" s="403" t="s">
        <v>304</v>
      </c>
      <c r="EF9" s="403" t="s">
        <v>343</v>
      </c>
      <c r="EG9" s="403" t="s">
        <v>526</v>
      </c>
      <c r="EH9" s="403" t="s">
        <v>527</v>
      </c>
      <c r="EI9" s="403" t="s">
        <v>528</v>
      </c>
      <c r="EJ9" s="403" t="s">
        <v>529</v>
      </c>
      <c r="EK9" s="404" t="s">
        <v>523</v>
      </c>
      <c r="EL9" s="402" t="s">
        <v>524</v>
      </c>
      <c r="EM9" s="403" t="s">
        <v>525</v>
      </c>
      <c r="EN9" s="403" t="s">
        <v>302</v>
      </c>
      <c r="EO9" s="403" t="s">
        <v>303</v>
      </c>
      <c r="EP9" s="403" t="s">
        <v>166</v>
      </c>
      <c r="EQ9" s="403" t="s">
        <v>304</v>
      </c>
      <c r="ER9" s="403" t="s">
        <v>343</v>
      </c>
      <c r="ES9" s="403" t="s">
        <v>526</v>
      </c>
      <c r="ET9" s="403" t="s">
        <v>527</v>
      </c>
      <c r="EU9" s="403" t="s">
        <v>528</v>
      </c>
      <c r="EV9" s="403"/>
      <c r="EW9" s="404" t="s">
        <v>149</v>
      </c>
      <c r="EX9" s="401" t="s">
        <v>251</v>
      </c>
    </row>
    <row r="10" spans="1:154" x14ac:dyDescent="0.35">
      <c r="A10" s="194">
        <v>2021</v>
      </c>
      <c r="B10" s="194">
        <v>7</v>
      </c>
      <c r="C10" s="195" t="s">
        <v>343</v>
      </c>
      <c r="D10" s="196">
        <v>394465.92</v>
      </c>
      <c r="F10" s="194">
        <v>1</v>
      </c>
      <c r="G10" s="197" t="s">
        <v>524</v>
      </c>
      <c r="H10" s="194">
        <v>31</v>
      </c>
      <c r="J10" s="198">
        <f>+K10+L10*0.01</f>
        <v>2021.07</v>
      </c>
      <c r="K10" s="194">
        <v>2021</v>
      </c>
      <c r="L10" s="194">
        <v>7</v>
      </c>
      <c r="M10" s="195" t="s">
        <v>343</v>
      </c>
      <c r="N10" s="199">
        <f t="shared" ref="N10:N15" si="5">IF(I$3-J10&gt;=0,D10,0)</f>
        <v>394465.92</v>
      </c>
      <c r="O10" s="200">
        <f>IF((H$3-K10)*12+(H$2-L10+1)&gt;=$H$6,N10,IF((H$3-K10)*12+(H$2-L10+1)&lt;0,0,((H$3-K10)*12+(H$2-L10+1))*Q10))</f>
        <v>177509.87999999998</v>
      </c>
      <c r="P10" s="201">
        <f t="shared" ref="P10:P15" si="6">+N10-O10</f>
        <v>216956.04</v>
      </c>
      <c r="Q10" s="201">
        <f t="shared" ref="Q10:Q15" si="7">ROUND(N10/H$6,2)</f>
        <v>3287.22</v>
      </c>
      <c r="R10" s="194">
        <f t="shared" ref="R10:R15" si="8">+K10+$H$5</f>
        <v>2031</v>
      </c>
      <c r="S10" s="194">
        <f t="shared" ref="S10:S15" si="9">+L10-1</f>
        <v>6</v>
      </c>
      <c r="T10" s="200">
        <f t="shared" ref="T10:AE15" si="10">IF($H$3=$K10,IF(T$8&lt;$L10,0,$Q10))+IF($H$3&lt;$R10,$Q10,0)+IF($H$3=$R10,IF(T$8&lt;$S10,$Q10,0))+IF($H$3=$R10,IF(T$8=$S10,$Q10,IF($H$3&gt;$R10,0)))+IF($O10=0,-$Q10,IF($H$3&gt;$K10,0,-$Q10))</f>
        <v>3287.22</v>
      </c>
      <c r="U10" s="200">
        <f t="shared" si="10"/>
        <v>3287.22</v>
      </c>
      <c r="V10" s="200">
        <f t="shared" si="10"/>
        <v>3287.22</v>
      </c>
      <c r="W10" s="200">
        <f t="shared" si="10"/>
        <v>3287.22</v>
      </c>
      <c r="X10" s="200">
        <f t="shared" si="10"/>
        <v>3287.22</v>
      </c>
      <c r="Y10" s="200">
        <f t="shared" si="10"/>
        <v>3287.22</v>
      </c>
      <c r="Z10" s="200">
        <f t="shared" si="10"/>
        <v>3287.22</v>
      </c>
      <c r="AA10" s="200">
        <f t="shared" si="10"/>
        <v>3287.22</v>
      </c>
      <c r="AB10" s="200">
        <f t="shared" si="10"/>
        <v>3287.22</v>
      </c>
      <c r="AC10" s="200">
        <f t="shared" si="10"/>
        <v>3287.22</v>
      </c>
      <c r="AD10" s="200">
        <f t="shared" si="10"/>
        <v>3287.22</v>
      </c>
      <c r="AE10" s="200">
        <f t="shared" si="10"/>
        <v>3287.22</v>
      </c>
      <c r="AF10" s="200">
        <f t="shared" ref="AF10:AF15" si="11">SUM(T10:AE10)</f>
        <v>39446.640000000007</v>
      </c>
      <c r="AG10" s="8">
        <f>AE10</f>
        <v>3287.22</v>
      </c>
      <c r="AH10" s="8">
        <f>AG10</f>
        <v>3287.22</v>
      </c>
      <c r="AI10" s="8">
        <f t="shared" ref="AI10:CT10" si="12">AH10</f>
        <v>3287.22</v>
      </c>
      <c r="AJ10" s="8">
        <f t="shared" si="12"/>
        <v>3287.22</v>
      </c>
      <c r="AK10" s="8">
        <f t="shared" si="12"/>
        <v>3287.22</v>
      </c>
      <c r="AL10" s="8">
        <f t="shared" si="12"/>
        <v>3287.22</v>
      </c>
      <c r="AM10" s="8">
        <f t="shared" si="12"/>
        <v>3287.22</v>
      </c>
      <c r="AN10" s="8">
        <f t="shared" si="12"/>
        <v>3287.22</v>
      </c>
      <c r="AO10" s="8">
        <f t="shared" si="12"/>
        <v>3287.22</v>
      </c>
      <c r="AP10" s="8">
        <f t="shared" si="12"/>
        <v>3287.22</v>
      </c>
      <c r="AQ10" s="8">
        <f t="shared" si="12"/>
        <v>3287.22</v>
      </c>
      <c r="AR10" s="8">
        <f t="shared" si="12"/>
        <v>3287.22</v>
      </c>
      <c r="AS10" s="8">
        <f t="shared" si="12"/>
        <v>3287.22</v>
      </c>
      <c r="AT10" s="8">
        <f t="shared" si="12"/>
        <v>3287.22</v>
      </c>
      <c r="AU10" s="8">
        <f t="shared" si="12"/>
        <v>3287.22</v>
      </c>
      <c r="AV10" s="8">
        <f t="shared" si="12"/>
        <v>3287.22</v>
      </c>
      <c r="AW10" s="8">
        <f t="shared" si="12"/>
        <v>3287.22</v>
      </c>
      <c r="AX10" s="8">
        <f t="shared" si="12"/>
        <v>3287.22</v>
      </c>
      <c r="AY10" s="8">
        <f t="shared" si="12"/>
        <v>3287.22</v>
      </c>
      <c r="AZ10" s="8">
        <f t="shared" si="12"/>
        <v>3287.22</v>
      </c>
      <c r="BA10" s="8">
        <f t="shared" si="12"/>
        <v>3287.22</v>
      </c>
      <c r="BB10" s="8">
        <f t="shared" si="12"/>
        <v>3287.22</v>
      </c>
      <c r="BC10" s="8">
        <f t="shared" si="12"/>
        <v>3287.22</v>
      </c>
      <c r="BD10" s="8">
        <f t="shared" si="12"/>
        <v>3287.22</v>
      </c>
      <c r="BE10" s="8">
        <f t="shared" si="12"/>
        <v>3287.22</v>
      </c>
      <c r="BF10" s="8">
        <f t="shared" si="12"/>
        <v>3287.22</v>
      </c>
      <c r="BG10" s="8">
        <f t="shared" si="12"/>
        <v>3287.22</v>
      </c>
      <c r="BH10" s="8">
        <f t="shared" si="12"/>
        <v>3287.22</v>
      </c>
      <c r="BI10" s="8">
        <f t="shared" si="12"/>
        <v>3287.22</v>
      </c>
      <c r="BJ10" s="8">
        <f t="shared" si="12"/>
        <v>3287.22</v>
      </c>
      <c r="BK10" s="8">
        <f t="shared" si="12"/>
        <v>3287.22</v>
      </c>
      <c r="BL10" s="8">
        <f t="shared" si="12"/>
        <v>3287.22</v>
      </c>
      <c r="BM10" s="8">
        <f t="shared" si="12"/>
        <v>3287.22</v>
      </c>
      <c r="BN10" s="8">
        <f t="shared" si="12"/>
        <v>3287.22</v>
      </c>
      <c r="BO10" s="8">
        <f t="shared" si="12"/>
        <v>3287.22</v>
      </c>
      <c r="BP10" s="8">
        <f t="shared" si="12"/>
        <v>3287.22</v>
      </c>
      <c r="BQ10" s="8">
        <f t="shared" si="12"/>
        <v>3287.22</v>
      </c>
      <c r="BR10" s="8">
        <f t="shared" si="12"/>
        <v>3287.22</v>
      </c>
      <c r="BS10" s="8">
        <f t="shared" si="12"/>
        <v>3287.22</v>
      </c>
      <c r="BT10" s="8">
        <f t="shared" si="12"/>
        <v>3287.22</v>
      </c>
      <c r="BU10" s="8">
        <f t="shared" si="12"/>
        <v>3287.22</v>
      </c>
      <c r="BV10" s="8">
        <f t="shared" si="12"/>
        <v>3287.22</v>
      </c>
      <c r="BW10" s="8">
        <f t="shared" si="12"/>
        <v>3287.22</v>
      </c>
      <c r="BX10" s="8">
        <f t="shared" si="12"/>
        <v>3287.22</v>
      </c>
      <c r="BY10" s="8">
        <f t="shared" si="12"/>
        <v>3287.22</v>
      </c>
      <c r="BZ10" s="8">
        <f t="shared" si="12"/>
        <v>3287.22</v>
      </c>
      <c r="CA10" s="8">
        <f t="shared" si="12"/>
        <v>3287.22</v>
      </c>
      <c r="CB10" s="8">
        <f t="shared" si="12"/>
        <v>3287.22</v>
      </c>
      <c r="CC10" s="8">
        <f t="shared" si="12"/>
        <v>3287.22</v>
      </c>
      <c r="CD10" s="8">
        <f t="shared" si="12"/>
        <v>3287.22</v>
      </c>
      <c r="CE10" s="8">
        <f t="shared" si="12"/>
        <v>3287.22</v>
      </c>
      <c r="CF10" s="8">
        <f t="shared" si="12"/>
        <v>3287.22</v>
      </c>
      <c r="CG10" s="8">
        <f t="shared" si="12"/>
        <v>3287.22</v>
      </c>
      <c r="CH10" s="8">
        <f t="shared" si="12"/>
        <v>3287.22</v>
      </c>
      <c r="CI10" s="8">
        <f t="shared" si="12"/>
        <v>3287.22</v>
      </c>
      <c r="CJ10" s="8">
        <f t="shared" si="12"/>
        <v>3287.22</v>
      </c>
      <c r="CK10" s="8">
        <f t="shared" si="12"/>
        <v>3287.22</v>
      </c>
      <c r="CL10" s="8">
        <f t="shared" si="12"/>
        <v>3287.22</v>
      </c>
      <c r="CM10" s="8">
        <f t="shared" si="12"/>
        <v>3287.22</v>
      </c>
      <c r="CN10" s="8">
        <f t="shared" si="12"/>
        <v>3287.22</v>
      </c>
      <c r="CO10" s="8">
        <f t="shared" si="12"/>
        <v>3287.22</v>
      </c>
      <c r="CP10" s="8">
        <f t="shared" si="12"/>
        <v>3287.22</v>
      </c>
      <c r="CQ10" s="8">
        <f t="shared" si="12"/>
        <v>3287.22</v>
      </c>
      <c r="CR10" s="8">
        <f t="shared" si="12"/>
        <v>3287.22</v>
      </c>
      <c r="CS10" s="8">
        <f t="shared" si="12"/>
        <v>3287.22</v>
      </c>
      <c r="CT10" s="8">
        <f t="shared" si="12"/>
        <v>3287.22</v>
      </c>
      <c r="CU10" s="8">
        <f t="shared" ref="CU10" si="13">CT10</f>
        <v>3287.22</v>
      </c>
      <c r="EW10" s="14">
        <f t="shared" ref="EW10:EW65" si="14">SUM(AG10:EV10)+O10</f>
        <v>397753.62</v>
      </c>
      <c r="EX10" s="14">
        <f t="shared" ref="EX10:EX65" si="15">EW10-N10</f>
        <v>3287.7000000000116</v>
      </c>
    </row>
    <row r="11" spans="1:154" x14ac:dyDescent="0.35">
      <c r="A11" s="194">
        <f t="shared" ref="A11:A16" si="16">+A10</f>
        <v>2021</v>
      </c>
      <c r="B11" s="194">
        <v>8</v>
      </c>
      <c r="C11" s="195" t="s">
        <v>526</v>
      </c>
      <c r="D11" s="202">
        <v>403140.34</v>
      </c>
      <c r="F11" s="194">
        <v>2</v>
      </c>
      <c r="G11" s="197" t="s">
        <v>525</v>
      </c>
      <c r="H11" s="194">
        <f>IF(MOD(H3,4)=0,29,28)</f>
        <v>28</v>
      </c>
      <c r="J11" s="198">
        <f t="shared" ref="J11:J67" si="17">+K11+L11*0.01</f>
        <v>2021.08</v>
      </c>
      <c r="K11" s="194">
        <f t="shared" ref="K11:K16" si="18">+K10</f>
        <v>2021</v>
      </c>
      <c r="L11" s="194">
        <v>8</v>
      </c>
      <c r="M11" s="195" t="s">
        <v>526</v>
      </c>
      <c r="N11" s="203">
        <f t="shared" si="5"/>
        <v>403140.34</v>
      </c>
      <c r="O11" s="203">
        <f t="shared" ref="O11:O15" si="19">IF((H$3-K11)*12+(H$2-L11+1)&gt;=$H$6,N11,IF((H$3-K11)*12+(H$2-L11+1)&lt;0,0,((H$3-K11)*12+(H$2-L11+1))*Q11))</f>
        <v>178053.5</v>
      </c>
      <c r="P11" s="203">
        <f t="shared" si="6"/>
        <v>225086.84000000003</v>
      </c>
      <c r="Q11" s="203">
        <f t="shared" si="7"/>
        <v>3359.5</v>
      </c>
      <c r="R11" s="194">
        <f t="shared" si="8"/>
        <v>2031</v>
      </c>
      <c r="S11" s="194">
        <f t="shared" si="9"/>
        <v>7</v>
      </c>
      <c r="T11" s="174">
        <f t="shared" si="10"/>
        <v>3359.5</v>
      </c>
      <c r="U11" s="174">
        <f t="shared" si="10"/>
        <v>3359.5</v>
      </c>
      <c r="V11" s="174">
        <f t="shared" si="10"/>
        <v>3359.5</v>
      </c>
      <c r="W11" s="174">
        <f t="shared" si="10"/>
        <v>3359.5</v>
      </c>
      <c r="X11" s="174">
        <f t="shared" si="10"/>
        <v>3359.5</v>
      </c>
      <c r="Y11" s="174">
        <f t="shared" si="10"/>
        <v>3359.5</v>
      </c>
      <c r="Z11" s="174">
        <f t="shared" si="10"/>
        <v>3359.5</v>
      </c>
      <c r="AA11" s="174">
        <f t="shared" si="10"/>
        <v>3359.5</v>
      </c>
      <c r="AB11" s="174">
        <f t="shared" si="10"/>
        <v>3359.5</v>
      </c>
      <c r="AC11" s="174">
        <f t="shared" si="10"/>
        <v>3359.5</v>
      </c>
      <c r="AD11" s="174">
        <f t="shared" si="10"/>
        <v>3359.5</v>
      </c>
      <c r="AE11" s="174">
        <f t="shared" si="10"/>
        <v>3359.5</v>
      </c>
      <c r="AF11" s="174">
        <f t="shared" si="11"/>
        <v>40314</v>
      </c>
      <c r="AG11" s="8">
        <f t="shared" ref="AG11:AG55" si="20">AE11</f>
        <v>3359.5</v>
      </c>
      <c r="AH11" s="8">
        <f t="shared" ref="AH11:AH55" si="21">AG11</f>
        <v>3359.5</v>
      </c>
      <c r="EW11" s="14">
        <f t="shared" si="14"/>
        <v>184772.5</v>
      </c>
      <c r="EX11" s="14">
        <f t="shared" si="15"/>
        <v>-218367.84000000003</v>
      </c>
    </row>
    <row r="12" spans="1:154" x14ac:dyDescent="0.35">
      <c r="A12" s="194">
        <f t="shared" si="16"/>
        <v>2021</v>
      </c>
      <c r="B12" s="194">
        <v>9</v>
      </c>
      <c r="C12" s="195" t="s">
        <v>527</v>
      </c>
      <c r="D12" s="202">
        <v>459161.56</v>
      </c>
      <c r="F12" s="194">
        <v>3</v>
      </c>
      <c r="G12" s="197" t="s">
        <v>302</v>
      </c>
      <c r="H12" s="194">
        <v>31</v>
      </c>
      <c r="J12" s="198">
        <f t="shared" si="17"/>
        <v>2021.09</v>
      </c>
      <c r="K12" s="194">
        <f t="shared" si="18"/>
        <v>2021</v>
      </c>
      <c r="L12" s="194">
        <v>9</v>
      </c>
      <c r="M12" s="195" t="s">
        <v>527</v>
      </c>
      <c r="N12" s="203">
        <f t="shared" si="5"/>
        <v>459161.56</v>
      </c>
      <c r="O12" s="203">
        <f t="shared" si="19"/>
        <v>198970.19999999998</v>
      </c>
      <c r="P12" s="203">
        <f t="shared" si="6"/>
        <v>260191.36000000002</v>
      </c>
      <c r="Q12" s="203">
        <f t="shared" si="7"/>
        <v>3826.35</v>
      </c>
      <c r="R12" s="194">
        <f t="shared" si="8"/>
        <v>2031</v>
      </c>
      <c r="S12" s="194">
        <f t="shared" si="9"/>
        <v>8</v>
      </c>
      <c r="T12" s="174">
        <f t="shared" si="10"/>
        <v>3826.35</v>
      </c>
      <c r="U12" s="174">
        <f t="shared" si="10"/>
        <v>3826.35</v>
      </c>
      <c r="V12" s="174">
        <f t="shared" si="10"/>
        <v>3826.35</v>
      </c>
      <c r="W12" s="174">
        <f t="shared" si="10"/>
        <v>3826.35</v>
      </c>
      <c r="X12" s="174">
        <f t="shared" si="10"/>
        <v>3826.35</v>
      </c>
      <c r="Y12" s="174">
        <f t="shared" si="10"/>
        <v>3826.35</v>
      </c>
      <c r="Z12" s="174">
        <f t="shared" si="10"/>
        <v>3826.35</v>
      </c>
      <c r="AA12" s="174">
        <f t="shared" si="10"/>
        <v>3826.35</v>
      </c>
      <c r="AB12" s="174">
        <f t="shared" si="10"/>
        <v>3826.35</v>
      </c>
      <c r="AC12" s="174">
        <f t="shared" si="10"/>
        <v>3826.35</v>
      </c>
      <c r="AD12" s="174">
        <f t="shared" si="10"/>
        <v>3826.35</v>
      </c>
      <c r="AE12" s="174">
        <f t="shared" si="10"/>
        <v>3826.35</v>
      </c>
      <c r="AF12" s="174">
        <f t="shared" si="11"/>
        <v>45916.19999999999</v>
      </c>
      <c r="AG12" s="8">
        <f t="shared" si="20"/>
        <v>3826.35</v>
      </c>
      <c r="AH12" s="8">
        <f t="shared" si="21"/>
        <v>3826.35</v>
      </c>
      <c r="EW12" s="14">
        <f t="shared" si="14"/>
        <v>206622.9</v>
      </c>
      <c r="EX12" s="14">
        <f t="shared" si="15"/>
        <v>-252538.66</v>
      </c>
    </row>
    <row r="13" spans="1:154" x14ac:dyDescent="0.35">
      <c r="A13" s="204">
        <f t="shared" si="16"/>
        <v>2021</v>
      </c>
      <c r="B13" s="204">
        <v>10</v>
      </c>
      <c r="C13" s="205" t="s">
        <v>528</v>
      </c>
      <c r="D13" s="202">
        <v>426229.33</v>
      </c>
      <c r="F13" s="194">
        <v>4</v>
      </c>
      <c r="G13" s="197" t="s">
        <v>303</v>
      </c>
      <c r="H13" s="194">
        <v>30</v>
      </c>
      <c r="J13" s="206">
        <f t="shared" si="17"/>
        <v>2021.1</v>
      </c>
      <c r="K13" s="204">
        <f t="shared" si="18"/>
        <v>2021</v>
      </c>
      <c r="L13" s="204">
        <v>10</v>
      </c>
      <c r="M13" s="205" t="s">
        <v>528</v>
      </c>
      <c r="N13" s="203">
        <f t="shared" si="5"/>
        <v>426229.33</v>
      </c>
      <c r="O13" s="203">
        <f t="shared" si="19"/>
        <v>181147.41</v>
      </c>
      <c r="P13" s="203">
        <f t="shared" si="6"/>
        <v>245081.92</v>
      </c>
      <c r="Q13" s="203">
        <f t="shared" si="7"/>
        <v>3551.91</v>
      </c>
      <c r="R13" s="194">
        <f t="shared" si="8"/>
        <v>2031</v>
      </c>
      <c r="S13" s="194">
        <f t="shared" si="9"/>
        <v>9</v>
      </c>
      <c r="T13" s="174">
        <f t="shared" si="10"/>
        <v>3551.91</v>
      </c>
      <c r="U13" s="174">
        <f t="shared" si="10"/>
        <v>3551.91</v>
      </c>
      <c r="V13" s="174">
        <f t="shared" si="10"/>
        <v>3551.91</v>
      </c>
      <c r="W13" s="174">
        <f t="shared" si="10"/>
        <v>3551.91</v>
      </c>
      <c r="X13" s="174">
        <f t="shared" si="10"/>
        <v>3551.91</v>
      </c>
      <c r="Y13" s="174">
        <f t="shared" si="10"/>
        <v>3551.91</v>
      </c>
      <c r="Z13" s="174">
        <f t="shared" si="10"/>
        <v>3551.91</v>
      </c>
      <c r="AA13" s="174">
        <f t="shared" si="10"/>
        <v>3551.91</v>
      </c>
      <c r="AB13" s="174">
        <f t="shared" si="10"/>
        <v>3551.91</v>
      </c>
      <c r="AC13" s="174">
        <f t="shared" si="10"/>
        <v>3551.91</v>
      </c>
      <c r="AD13" s="174">
        <f t="shared" si="10"/>
        <v>3551.91</v>
      </c>
      <c r="AE13" s="174">
        <f t="shared" si="10"/>
        <v>3551.91</v>
      </c>
      <c r="AF13" s="174">
        <f t="shared" si="11"/>
        <v>42622.92</v>
      </c>
      <c r="AG13" s="8">
        <f t="shared" si="20"/>
        <v>3551.91</v>
      </c>
      <c r="AH13" s="8">
        <f t="shared" si="21"/>
        <v>3551.91</v>
      </c>
      <c r="EW13" s="14">
        <f t="shared" si="14"/>
        <v>188251.23</v>
      </c>
      <c r="EX13" s="14">
        <f t="shared" si="15"/>
        <v>-237978.1</v>
      </c>
    </row>
    <row r="14" spans="1:154" x14ac:dyDescent="0.35">
      <c r="A14" s="204">
        <f t="shared" si="16"/>
        <v>2021</v>
      </c>
      <c r="B14" s="204">
        <v>11</v>
      </c>
      <c r="C14" s="205" t="s">
        <v>529</v>
      </c>
      <c r="D14" s="202">
        <v>805998.73</v>
      </c>
      <c r="F14" s="194">
        <v>5</v>
      </c>
      <c r="G14" s="197" t="s">
        <v>166</v>
      </c>
      <c r="H14" s="204">
        <v>31</v>
      </c>
      <c r="J14" s="206">
        <f t="shared" si="17"/>
        <v>2021.11</v>
      </c>
      <c r="K14" s="204">
        <f t="shared" si="18"/>
        <v>2021</v>
      </c>
      <c r="L14" s="204">
        <v>11</v>
      </c>
      <c r="M14" s="205" t="s">
        <v>529</v>
      </c>
      <c r="N14" s="203">
        <f t="shared" si="5"/>
        <v>805998.73</v>
      </c>
      <c r="O14" s="203">
        <f t="shared" si="19"/>
        <v>335833</v>
      </c>
      <c r="P14" s="203">
        <f t="shared" si="6"/>
        <v>470165.73</v>
      </c>
      <c r="Q14" s="203">
        <f t="shared" si="7"/>
        <v>6716.66</v>
      </c>
      <c r="R14" s="194">
        <f t="shared" si="8"/>
        <v>2031</v>
      </c>
      <c r="S14" s="194">
        <f t="shared" si="9"/>
        <v>10</v>
      </c>
      <c r="T14" s="174">
        <f t="shared" si="10"/>
        <v>6716.66</v>
      </c>
      <c r="U14" s="174">
        <f t="shared" si="10"/>
        <v>6716.66</v>
      </c>
      <c r="V14" s="174">
        <f t="shared" si="10"/>
        <v>6716.66</v>
      </c>
      <c r="W14" s="174">
        <f t="shared" si="10"/>
        <v>6716.66</v>
      </c>
      <c r="X14" s="174">
        <f t="shared" si="10"/>
        <v>6716.66</v>
      </c>
      <c r="Y14" s="174">
        <f t="shared" si="10"/>
        <v>6716.66</v>
      </c>
      <c r="Z14" s="174">
        <f t="shared" si="10"/>
        <v>6716.66</v>
      </c>
      <c r="AA14" s="174">
        <f t="shared" si="10"/>
        <v>6716.66</v>
      </c>
      <c r="AB14" s="174">
        <f t="shared" si="10"/>
        <v>6716.66</v>
      </c>
      <c r="AC14" s="174">
        <f t="shared" si="10"/>
        <v>6716.66</v>
      </c>
      <c r="AD14" s="174">
        <f t="shared" si="10"/>
        <v>6716.66</v>
      </c>
      <c r="AE14" s="174">
        <f t="shared" si="10"/>
        <v>6716.66</v>
      </c>
      <c r="AF14" s="174">
        <f t="shared" si="11"/>
        <v>80599.920000000027</v>
      </c>
      <c r="AG14" s="8">
        <f t="shared" si="20"/>
        <v>6716.66</v>
      </c>
      <c r="AH14" s="8">
        <f t="shared" si="21"/>
        <v>6716.66</v>
      </c>
      <c r="EW14" s="14">
        <f t="shared" si="14"/>
        <v>349266.32</v>
      </c>
      <c r="EX14" s="14">
        <f t="shared" si="15"/>
        <v>-456732.41</v>
      </c>
    </row>
    <row r="15" spans="1:154" x14ac:dyDescent="0.35">
      <c r="A15" s="204">
        <f t="shared" si="16"/>
        <v>2021</v>
      </c>
      <c r="B15" s="204">
        <v>12</v>
      </c>
      <c r="C15" s="205" t="s">
        <v>523</v>
      </c>
      <c r="D15" s="207">
        <v>1255424.8600000001</v>
      </c>
      <c r="F15" s="194">
        <v>6</v>
      </c>
      <c r="G15" s="197" t="s">
        <v>304</v>
      </c>
      <c r="H15" s="204">
        <v>30</v>
      </c>
      <c r="J15" s="206">
        <f t="shared" si="17"/>
        <v>2021.12</v>
      </c>
      <c r="K15" s="204">
        <f t="shared" si="18"/>
        <v>2021</v>
      </c>
      <c r="L15" s="204">
        <v>12</v>
      </c>
      <c r="M15" s="205" t="s">
        <v>523</v>
      </c>
      <c r="N15" s="203">
        <f t="shared" si="5"/>
        <v>1255424.8600000001</v>
      </c>
      <c r="O15" s="203">
        <f t="shared" si="19"/>
        <v>512631.63000000006</v>
      </c>
      <c r="P15" s="203">
        <f t="shared" si="6"/>
        <v>742793.23</v>
      </c>
      <c r="Q15" s="203">
        <f t="shared" si="7"/>
        <v>10461.870000000001</v>
      </c>
      <c r="R15" s="194">
        <f t="shared" si="8"/>
        <v>2031</v>
      </c>
      <c r="S15" s="194">
        <f t="shared" si="9"/>
        <v>11</v>
      </c>
      <c r="T15" s="174">
        <f t="shared" si="10"/>
        <v>10461.870000000001</v>
      </c>
      <c r="U15" s="174">
        <f t="shared" si="10"/>
        <v>10461.870000000001</v>
      </c>
      <c r="V15" s="174">
        <f t="shared" si="10"/>
        <v>10461.870000000001</v>
      </c>
      <c r="W15" s="174">
        <f t="shared" si="10"/>
        <v>10461.870000000001</v>
      </c>
      <c r="X15" s="174">
        <f t="shared" si="10"/>
        <v>10461.870000000001</v>
      </c>
      <c r="Y15" s="174">
        <f t="shared" si="10"/>
        <v>10461.870000000001</v>
      </c>
      <c r="Z15" s="174">
        <f t="shared" si="10"/>
        <v>10461.870000000001</v>
      </c>
      <c r="AA15" s="174">
        <f t="shared" si="10"/>
        <v>10461.870000000001</v>
      </c>
      <c r="AB15" s="174">
        <f t="shared" si="10"/>
        <v>10461.870000000001</v>
      </c>
      <c r="AC15" s="174">
        <f t="shared" si="10"/>
        <v>10461.870000000001</v>
      </c>
      <c r="AD15" s="174">
        <f t="shared" si="10"/>
        <v>10461.870000000001</v>
      </c>
      <c r="AE15" s="174">
        <f t="shared" si="10"/>
        <v>10461.870000000001</v>
      </c>
      <c r="AF15" s="174">
        <f t="shared" si="11"/>
        <v>125542.43999999999</v>
      </c>
      <c r="AG15" s="8">
        <f t="shared" si="20"/>
        <v>10461.870000000001</v>
      </c>
      <c r="AH15" s="8">
        <f t="shared" si="21"/>
        <v>10461.870000000001</v>
      </c>
      <c r="EW15" s="14">
        <f t="shared" si="14"/>
        <v>533555.37000000011</v>
      </c>
      <c r="EX15" s="14">
        <f t="shared" si="15"/>
        <v>-721869.49</v>
      </c>
    </row>
    <row r="16" spans="1:154" x14ac:dyDescent="0.35">
      <c r="A16" s="208">
        <f t="shared" si="16"/>
        <v>2021</v>
      </c>
      <c r="B16" s="208"/>
      <c r="C16" s="209" t="s">
        <v>116</v>
      </c>
      <c r="D16" s="210">
        <f>SUM(D10:D15)</f>
        <v>3744420.74</v>
      </c>
      <c r="F16" s="194">
        <v>7</v>
      </c>
      <c r="G16" s="197" t="s">
        <v>343</v>
      </c>
      <c r="H16" s="204">
        <v>31</v>
      </c>
      <c r="J16" s="211"/>
      <c r="K16" s="208">
        <f t="shared" si="18"/>
        <v>2021</v>
      </c>
      <c r="L16" s="208"/>
      <c r="M16" s="209" t="s">
        <v>116</v>
      </c>
      <c r="N16" s="210">
        <f>SUM(N10:N15)</f>
        <v>3744420.74</v>
      </c>
      <c r="O16" s="210">
        <f>SUM(O10:O15)</f>
        <v>1584145.62</v>
      </c>
      <c r="P16" s="210">
        <f>SUM(P10:P15)</f>
        <v>2160275.12</v>
      </c>
      <c r="Q16" s="210">
        <f>SUM(Q10:Q15)</f>
        <v>31203.510000000002</v>
      </c>
      <c r="R16" s="210"/>
      <c r="S16" s="210"/>
      <c r="T16" s="210">
        <f t="shared" ref="T16:AF16" si="22">SUM(T10:T15)</f>
        <v>31203.510000000002</v>
      </c>
      <c r="U16" s="210">
        <f t="shared" si="22"/>
        <v>31203.510000000002</v>
      </c>
      <c r="V16" s="210">
        <f t="shared" si="22"/>
        <v>31203.510000000002</v>
      </c>
      <c r="W16" s="210">
        <f t="shared" si="22"/>
        <v>31203.510000000002</v>
      </c>
      <c r="X16" s="210">
        <f t="shared" si="22"/>
        <v>31203.510000000002</v>
      </c>
      <c r="Y16" s="210">
        <f t="shared" si="22"/>
        <v>31203.510000000002</v>
      </c>
      <c r="Z16" s="210">
        <f t="shared" si="22"/>
        <v>31203.510000000002</v>
      </c>
      <c r="AA16" s="210">
        <f t="shared" si="22"/>
        <v>31203.510000000002</v>
      </c>
      <c r="AB16" s="210">
        <f t="shared" si="22"/>
        <v>31203.510000000002</v>
      </c>
      <c r="AC16" s="210">
        <f t="shared" si="22"/>
        <v>31203.510000000002</v>
      </c>
      <c r="AD16" s="210">
        <f t="shared" si="22"/>
        <v>31203.510000000002</v>
      </c>
      <c r="AE16" s="210">
        <f t="shared" si="22"/>
        <v>31203.510000000002</v>
      </c>
      <c r="AF16" s="210">
        <f t="shared" si="22"/>
        <v>374442.12000000005</v>
      </c>
      <c r="AG16" s="8">
        <f t="shared" si="20"/>
        <v>31203.510000000002</v>
      </c>
      <c r="AH16" s="8">
        <f t="shared" si="21"/>
        <v>31203.510000000002</v>
      </c>
      <c r="EW16" s="14">
        <f t="shared" si="14"/>
        <v>1646552.6400000001</v>
      </c>
      <c r="EX16" s="14">
        <f t="shared" si="15"/>
        <v>-2097868.1</v>
      </c>
    </row>
    <row r="17" spans="1:154" x14ac:dyDescent="0.35">
      <c r="A17" s="194">
        <f>+A16+1</f>
        <v>2022</v>
      </c>
      <c r="B17" s="194">
        <v>1</v>
      </c>
      <c r="C17" s="195" t="s">
        <v>524</v>
      </c>
      <c r="D17" s="196">
        <v>2331662.35</v>
      </c>
      <c r="F17" s="194">
        <v>8</v>
      </c>
      <c r="G17" s="197" t="s">
        <v>526</v>
      </c>
      <c r="H17" s="204">
        <v>31</v>
      </c>
      <c r="J17" s="198">
        <f t="shared" si="17"/>
        <v>2022.01</v>
      </c>
      <c r="K17" s="194">
        <f>+K16+1</f>
        <v>2022</v>
      </c>
      <c r="L17" s="194">
        <v>1</v>
      </c>
      <c r="M17" s="195" t="s">
        <v>524</v>
      </c>
      <c r="N17" s="199">
        <f>IF(I$3-J17&gt;=0,D17,0)</f>
        <v>2331662.35</v>
      </c>
      <c r="O17" s="200">
        <f t="shared" ref="O17:O28" si="23">IF((H$3-K17)*12+(H$2-L17+1)&gt;=$H$6,N17,IF((H$3-K17)*12+(H$2-L17+1)&lt;0,0,((H$3-K17)*12+(H$2-L17+1))*Q17))</f>
        <v>932664.96</v>
      </c>
      <c r="P17" s="201">
        <f t="shared" ref="P17:P28" si="24">+N17-O17</f>
        <v>1398997.3900000001</v>
      </c>
      <c r="Q17" s="201">
        <f t="shared" ref="Q17:Q28" si="25">ROUND(N17/H$6,2)</f>
        <v>19430.52</v>
      </c>
      <c r="R17" s="194">
        <f>+R15</f>
        <v>2031</v>
      </c>
      <c r="S17" s="194">
        <f>+S15+1</f>
        <v>12</v>
      </c>
      <c r="T17" s="200">
        <f t="shared" ref="T17:AE28" si="26">IF($H$3=$K17,IF(T$8&lt;$L17,0,$Q17))+IF($H$3&lt;$R17,$Q17,0)+IF($H$3=$R17,IF(T$8&lt;$S17,$Q17,0))+IF($H$3=$R17,IF(T$8=$S17,$Q17,IF($H$3&gt;$R17,0)))+IF($O17=0,-$Q17,IF($H$3&gt;$K17,0,-$Q17))</f>
        <v>19430.52</v>
      </c>
      <c r="U17" s="200">
        <f t="shared" si="26"/>
        <v>19430.52</v>
      </c>
      <c r="V17" s="200">
        <f t="shared" si="26"/>
        <v>19430.52</v>
      </c>
      <c r="W17" s="200">
        <f t="shared" si="26"/>
        <v>19430.52</v>
      </c>
      <c r="X17" s="200">
        <f t="shared" si="26"/>
        <v>19430.52</v>
      </c>
      <c r="Y17" s="200">
        <f t="shared" si="26"/>
        <v>19430.52</v>
      </c>
      <c r="Z17" s="200">
        <f t="shared" si="26"/>
        <v>19430.52</v>
      </c>
      <c r="AA17" s="200">
        <f t="shared" si="26"/>
        <v>19430.52</v>
      </c>
      <c r="AB17" s="200">
        <f t="shared" si="26"/>
        <v>19430.52</v>
      </c>
      <c r="AC17" s="200">
        <f t="shared" si="26"/>
        <v>19430.52</v>
      </c>
      <c r="AD17" s="200">
        <f t="shared" si="26"/>
        <v>19430.52</v>
      </c>
      <c r="AE17" s="200">
        <f t="shared" si="26"/>
        <v>19430.52</v>
      </c>
      <c r="AF17" s="200">
        <f t="shared" ref="AF17:AF28" si="27">SUM(T17:AE17)</f>
        <v>233166.23999999996</v>
      </c>
      <c r="AG17" s="8">
        <f t="shared" si="20"/>
        <v>19430.52</v>
      </c>
      <c r="AH17" s="8">
        <f t="shared" si="21"/>
        <v>19430.52</v>
      </c>
      <c r="EW17" s="14">
        <f t="shared" si="14"/>
        <v>971526</v>
      </c>
      <c r="EX17" s="14">
        <f t="shared" si="15"/>
        <v>-1360136.35</v>
      </c>
    </row>
    <row r="18" spans="1:154" x14ac:dyDescent="0.35">
      <c r="A18" s="194">
        <f>+A17</f>
        <v>2022</v>
      </c>
      <c r="B18" s="194">
        <v>2</v>
      </c>
      <c r="C18" s="195" t="s">
        <v>525</v>
      </c>
      <c r="D18" s="202">
        <v>1275800.44</v>
      </c>
      <c r="F18" s="194">
        <v>9</v>
      </c>
      <c r="G18" s="197" t="s">
        <v>527</v>
      </c>
      <c r="H18" s="204">
        <f>30</f>
        <v>30</v>
      </c>
      <c r="J18" s="198">
        <f t="shared" si="17"/>
        <v>2022.02</v>
      </c>
      <c r="K18" s="194">
        <f>+K17</f>
        <v>2022</v>
      </c>
      <c r="L18" s="194">
        <v>2</v>
      </c>
      <c r="M18" s="195" t="s">
        <v>525</v>
      </c>
      <c r="N18" s="203">
        <f t="shared" ref="N18:N28" si="28">IF(I$3-J18&gt;=0,D18,0)</f>
        <v>1275800.44</v>
      </c>
      <c r="O18" s="203">
        <f t="shared" si="23"/>
        <v>499688.49</v>
      </c>
      <c r="P18" s="203">
        <f t="shared" si="24"/>
        <v>776111.95</v>
      </c>
      <c r="Q18" s="203">
        <f t="shared" si="25"/>
        <v>10631.67</v>
      </c>
      <c r="R18" s="194">
        <f t="shared" ref="R18:R28" si="29">+K18+$H$5</f>
        <v>2032</v>
      </c>
      <c r="S18" s="194">
        <f t="shared" ref="S18:S28" si="30">+L18-1</f>
        <v>1</v>
      </c>
      <c r="T18" s="174">
        <f t="shared" si="26"/>
        <v>10631.67</v>
      </c>
      <c r="U18" s="174">
        <f t="shared" si="26"/>
        <v>10631.67</v>
      </c>
      <c r="V18" s="174">
        <f t="shared" si="26"/>
        <v>10631.67</v>
      </c>
      <c r="W18" s="174">
        <f t="shared" si="26"/>
        <v>10631.67</v>
      </c>
      <c r="X18" s="174">
        <f t="shared" si="26"/>
        <v>10631.67</v>
      </c>
      <c r="Y18" s="174">
        <f t="shared" si="26"/>
        <v>10631.67</v>
      </c>
      <c r="Z18" s="174">
        <f t="shared" si="26"/>
        <v>10631.67</v>
      </c>
      <c r="AA18" s="174">
        <f t="shared" si="26"/>
        <v>10631.67</v>
      </c>
      <c r="AB18" s="174">
        <f t="shared" si="26"/>
        <v>10631.67</v>
      </c>
      <c r="AC18" s="174">
        <f t="shared" si="26"/>
        <v>10631.67</v>
      </c>
      <c r="AD18" s="174">
        <f t="shared" si="26"/>
        <v>10631.67</v>
      </c>
      <c r="AE18" s="174">
        <f t="shared" si="26"/>
        <v>10631.67</v>
      </c>
      <c r="AF18" s="174">
        <f t="shared" si="27"/>
        <v>127580.04</v>
      </c>
      <c r="AG18" s="8">
        <f t="shared" si="20"/>
        <v>10631.67</v>
      </c>
      <c r="AH18" s="8">
        <f t="shared" si="21"/>
        <v>10631.67</v>
      </c>
      <c r="EW18" s="14">
        <f t="shared" si="14"/>
        <v>520951.83</v>
      </c>
      <c r="EX18" s="14">
        <f t="shared" si="15"/>
        <v>-754848.60999999987</v>
      </c>
    </row>
    <row r="19" spans="1:154" x14ac:dyDescent="0.35">
      <c r="A19" s="194">
        <f t="shared" ref="A19:A28" si="31">+A18</f>
        <v>2022</v>
      </c>
      <c r="B19" s="194">
        <v>3</v>
      </c>
      <c r="C19" s="195" t="s">
        <v>302</v>
      </c>
      <c r="D19" s="212">
        <v>1860540.81</v>
      </c>
      <c r="F19" s="204">
        <v>10</v>
      </c>
      <c r="G19" s="213" t="s">
        <v>528</v>
      </c>
      <c r="H19" s="204">
        <v>31</v>
      </c>
      <c r="J19" s="198">
        <f t="shared" si="17"/>
        <v>2022.03</v>
      </c>
      <c r="K19" s="194">
        <f t="shared" ref="K19:K28" si="32">+K18</f>
        <v>2022</v>
      </c>
      <c r="L19" s="194">
        <v>3</v>
      </c>
      <c r="M19" s="195" t="s">
        <v>302</v>
      </c>
      <c r="N19" s="203">
        <f t="shared" si="28"/>
        <v>1860540.81</v>
      </c>
      <c r="O19" s="203">
        <f t="shared" si="23"/>
        <v>713207.46</v>
      </c>
      <c r="P19" s="203">
        <f t="shared" si="24"/>
        <v>1147333.3500000001</v>
      </c>
      <c r="Q19" s="203">
        <f t="shared" si="25"/>
        <v>15504.51</v>
      </c>
      <c r="R19" s="194">
        <f t="shared" si="29"/>
        <v>2032</v>
      </c>
      <c r="S19" s="194">
        <f t="shared" si="30"/>
        <v>2</v>
      </c>
      <c r="T19" s="174">
        <f t="shared" si="26"/>
        <v>15504.51</v>
      </c>
      <c r="U19" s="174">
        <f t="shared" si="26"/>
        <v>15504.51</v>
      </c>
      <c r="V19" s="174">
        <f t="shared" si="26"/>
        <v>15504.51</v>
      </c>
      <c r="W19" s="174">
        <f t="shared" si="26"/>
        <v>15504.51</v>
      </c>
      <c r="X19" s="174">
        <f t="shared" si="26"/>
        <v>15504.51</v>
      </c>
      <c r="Y19" s="174">
        <f t="shared" si="26"/>
        <v>15504.51</v>
      </c>
      <c r="Z19" s="174">
        <f t="shared" si="26"/>
        <v>15504.51</v>
      </c>
      <c r="AA19" s="174">
        <f t="shared" si="26"/>
        <v>15504.51</v>
      </c>
      <c r="AB19" s="174">
        <f t="shared" si="26"/>
        <v>15504.51</v>
      </c>
      <c r="AC19" s="174">
        <f t="shared" si="26"/>
        <v>15504.51</v>
      </c>
      <c r="AD19" s="174">
        <f t="shared" si="26"/>
        <v>15504.51</v>
      </c>
      <c r="AE19" s="174">
        <f t="shared" si="26"/>
        <v>15504.51</v>
      </c>
      <c r="AF19" s="174">
        <f t="shared" si="27"/>
        <v>186054.12000000002</v>
      </c>
      <c r="AG19" s="8">
        <f t="shared" si="20"/>
        <v>15504.51</v>
      </c>
      <c r="AH19" s="8">
        <f t="shared" si="21"/>
        <v>15504.51</v>
      </c>
      <c r="EW19" s="14">
        <f t="shared" si="14"/>
        <v>744216.48</v>
      </c>
      <c r="EX19" s="14">
        <f t="shared" si="15"/>
        <v>-1116324.33</v>
      </c>
    </row>
    <row r="20" spans="1:154" x14ac:dyDescent="0.35">
      <c r="A20" s="194">
        <f t="shared" si="31"/>
        <v>2022</v>
      </c>
      <c r="B20" s="194">
        <v>4</v>
      </c>
      <c r="C20" s="195" t="s">
        <v>303</v>
      </c>
      <c r="D20" s="212">
        <v>835995.64</v>
      </c>
      <c r="F20" s="204">
        <v>11</v>
      </c>
      <c r="G20" s="213" t="s">
        <v>529</v>
      </c>
      <c r="H20" s="204">
        <v>30</v>
      </c>
      <c r="J20" s="198">
        <f t="shared" si="17"/>
        <v>2022.04</v>
      </c>
      <c r="K20" s="194">
        <f t="shared" si="32"/>
        <v>2022</v>
      </c>
      <c r="L20" s="194">
        <v>4</v>
      </c>
      <c r="M20" s="195" t="s">
        <v>303</v>
      </c>
      <c r="N20" s="203">
        <f t="shared" si="28"/>
        <v>835995.64</v>
      </c>
      <c r="O20" s="203">
        <f t="shared" si="23"/>
        <v>313498.34999999998</v>
      </c>
      <c r="P20" s="203">
        <f t="shared" si="24"/>
        <v>522497.29000000004</v>
      </c>
      <c r="Q20" s="203">
        <f t="shared" si="25"/>
        <v>6966.63</v>
      </c>
      <c r="R20" s="194">
        <f t="shared" si="29"/>
        <v>2032</v>
      </c>
      <c r="S20" s="194">
        <f t="shared" si="30"/>
        <v>3</v>
      </c>
      <c r="T20" s="174">
        <f t="shared" si="26"/>
        <v>6966.63</v>
      </c>
      <c r="U20" s="174">
        <f t="shared" si="26"/>
        <v>6966.63</v>
      </c>
      <c r="V20" s="174">
        <f t="shared" si="26"/>
        <v>6966.63</v>
      </c>
      <c r="W20" s="174">
        <f t="shared" si="26"/>
        <v>6966.63</v>
      </c>
      <c r="X20" s="174">
        <f t="shared" si="26"/>
        <v>6966.63</v>
      </c>
      <c r="Y20" s="174">
        <f t="shared" si="26"/>
        <v>6966.63</v>
      </c>
      <c r="Z20" s="174">
        <f t="shared" si="26"/>
        <v>6966.63</v>
      </c>
      <c r="AA20" s="174">
        <f t="shared" si="26"/>
        <v>6966.63</v>
      </c>
      <c r="AB20" s="174">
        <f t="shared" si="26"/>
        <v>6966.63</v>
      </c>
      <c r="AC20" s="174">
        <f t="shared" si="26"/>
        <v>6966.63</v>
      </c>
      <c r="AD20" s="174">
        <f t="shared" si="26"/>
        <v>6966.63</v>
      </c>
      <c r="AE20" s="174">
        <f t="shared" si="26"/>
        <v>6966.63</v>
      </c>
      <c r="AF20" s="174">
        <f t="shared" si="27"/>
        <v>83599.56</v>
      </c>
      <c r="AG20" s="8">
        <f t="shared" si="20"/>
        <v>6966.63</v>
      </c>
      <c r="AH20" s="8">
        <f t="shared" si="21"/>
        <v>6966.63</v>
      </c>
      <c r="EW20" s="14">
        <f t="shared" si="14"/>
        <v>327431.61</v>
      </c>
      <c r="EX20" s="14">
        <f t="shared" si="15"/>
        <v>-508564.03</v>
      </c>
    </row>
    <row r="21" spans="1:154" x14ac:dyDescent="0.35">
      <c r="A21" s="194">
        <f t="shared" si="31"/>
        <v>2022</v>
      </c>
      <c r="B21" s="194">
        <v>5</v>
      </c>
      <c r="C21" s="195" t="s">
        <v>166</v>
      </c>
      <c r="D21" s="212">
        <v>881186.48</v>
      </c>
      <c r="F21" s="204">
        <v>12</v>
      </c>
      <c r="G21" s="213" t="s">
        <v>523</v>
      </c>
      <c r="H21" s="204">
        <v>31</v>
      </c>
      <c r="J21" s="198">
        <f t="shared" si="17"/>
        <v>2022.05</v>
      </c>
      <c r="K21" s="194">
        <f t="shared" si="32"/>
        <v>2022</v>
      </c>
      <c r="L21" s="194">
        <v>5</v>
      </c>
      <c r="M21" s="195" t="s">
        <v>166</v>
      </c>
      <c r="N21" s="203">
        <f t="shared" si="28"/>
        <v>881186.48</v>
      </c>
      <c r="O21" s="203">
        <f t="shared" si="23"/>
        <v>323101.68</v>
      </c>
      <c r="P21" s="203">
        <f t="shared" si="24"/>
        <v>558084.80000000005</v>
      </c>
      <c r="Q21" s="203">
        <f t="shared" si="25"/>
        <v>7343.22</v>
      </c>
      <c r="R21" s="194">
        <f t="shared" si="29"/>
        <v>2032</v>
      </c>
      <c r="S21" s="194">
        <f t="shared" si="30"/>
        <v>4</v>
      </c>
      <c r="T21" s="174">
        <f t="shared" si="26"/>
        <v>7343.22</v>
      </c>
      <c r="U21" s="174">
        <f t="shared" si="26"/>
        <v>7343.22</v>
      </c>
      <c r="V21" s="174">
        <f t="shared" si="26"/>
        <v>7343.22</v>
      </c>
      <c r="W21" s="174">
        <f t="shared" si="26"/>
        <v>7343.22</v>
      </c>
      <c r="X21" s="174">
        <f t="shared" si="26"/>
        <v>7343.22</v>
      </c>
      <c r="Y21" s="174">
        <f t="shared" si="26"/>
        <v>7343.22</v>
      </c>
      <c r="Z21" s="174">
        <f t="shared" si="26"/>
        <v>7343.22</v>
      </c>
      <c r="AA21" s="174">
        <f t="shared" si="26"/>
        <v>7343.22</v>
      </c>
      <c r="AB21" s="174">
        <f t="shared" si="26"/>
        <v>7343.22</v>
      </c>
      <c r="AC21" s="174">
        <f t="shared" si="26"/>
        <v>7343.22</v>
      </c>
      <c r="AD21" s="174">
        <f t="shared" si="26"/>
        <v>7343.22</v>
      </c>
      <c r="AE21" s="174">
        <f t="shared" si="26"/>
        <v>7343.22</v>
      </c>
      <c r="AF21" s="174">
        <f t="shared" si="27"/>
        <v>88118.64</v>
      </c>
      <c r="AG21" s="8">
        <f t="shared" si="20"/>
        <v>7343.22</v>
      </c>
      <c r="AH21" s="8">
        <f t="shared" si="21"/>
        <v>7343.22</v>
      </c>
      <c r="EW21" s="14">
        <f t="shared" si="14"/>
        <v>337788.12</v>
      </c>
      <c r="EX21" s="14">
        <f t="shared" si="15"/>
        <v>-543398.36</v>
      </c>
    </row>
    <row r="22" spans="1:154" ht="15" thickBot="1" x14ac:dyDescent="0.4">
      <c r="A22" s="194">
        <f t="shared" si="31"/>
        <v>2022</v>
      </c>
      <c r="B22" s="194">
        <v>6</v>
      </c>
      <c r="C22" s="195" t="s">
        <v>304</v>
      </c>
      <c r="D22" s="202">
        <v>1203539.07</v>
      </c>
      <c r="J22" s="198">
        <f t="shared" si="17"/>
        <v>2022.06</v>
      </c>
      <c r="K22" s="194">
        <f t="shared" si="32"/>
        <v>2022</v>
      </c>
      <c r="L22" s="194">
        <v>6</v>
      </c>
      <c r="M22" s="195" t="s">
        <v>304</v>
      </c>
      <c r="N22" s="203">
        <f t="shared" si="28"/>
        <v>1203539.07</v>
      </c>
      <c r="O22" s="203">
        <f t="shared" si="23"/>
        <v>431268.07</v>
      </c>
      <c r="P22" s="203">
        <f t="shared" si="24"/>
        <v>772271</v>
      </c>
      <c r="Q22" s="203">
        <f t="shared" si="25"/>
        <v>10029.49</v>
      </c>
      <c r="R22" s="194">
        <f t="shared" si="29"/>
        <v>2032</v>
      </c>
      <c r="S22" s="194">
        <f t="shared" si="30"/>
        <v>5</v>
      </c>
      <c r="T22" s="174">
        <f t="shared" si="26"/>
        <v>10029.49</v>
      </c>
      <c r="U22" s="174">
        <f t="shared" si="26"/>
        <v>10029.49</v>
      </c>
      <c r="V22" s="174">
        <f t="shared" si="26"/>
        <v>10029.49</v>
      </c>
      <c r="W22" s="174">
        <f t="shared" si="26"/>
        <v>10029.49</v>
      </c>
      <c r="X22" s="174">
        <f t="shared" si="26"/>
        <v>10029.49</v>
      </c>
      <c r="Y22" s="174">
        <f t="shared" si="26"/>
        <v>10029.49</v>
      </c>
      <c r="Z22" s="174">
        <f t="shared" si="26"/>
        <v>10029.49</v>
      </c>
      <c r="AA22" s="174">
        <f t="shared" si="26"/>
        <v>10029.49</v>
      </c>
      <c r="AB22" s="174">
        <f t="shared" si="26"/>
        <v>10029.49</v>
      </c>
      <c r="AC22" s="174">
        <f t="shared" si="26"/>
        <v>10029.49</v>
      </c>
      <c r="AD22" s="174">
        <f t="shared" si="26"/>
        <v>10029.49</v>
      </c>
      <c r="AE22" s="174">
        <f t="shared" si="26"/>
        <v>10029.49</v>
      </c>
      <c r="AF22" s="174">
        <f t="shared" si="27"/>
        <v>120353.88000000002</v>
      </c>
      <c r="AG22" s="8">
        <f t="shared" si="20"/>
        <v>10029.49</v>
      </c>
      <c r="AH22" s="8">
        <f t="shared" si="21"/>
        <v>10029.49</v>
      </c>
      <c r="EW22" s="14">
        <f t="shared" si="14"/>
        <v>451327.05</v>
      </c>
      <c r="EX22" s="14">
        <f t="shared" si="15"/>
        <v>-752212.02</v>
      </c>
    </row>
    <row r="23" spans="1:154" ht="15" thickBot="1" x14ac:dyDescent="0.4">
      <c r="A23" s="194">
        <f t="shared" si="31"/>
        <v>2022</v>
      </c>
      <c r="B23" s="194">
        <v>7</v>
      </c>
      <c r="C23" s="195" t="s">
        <v>343</v>
      </c>
      <c r="D23" s="202">
        <v>2111151.39</v>
      </c>
      <c r="G23" s="277" t="s">
        <v>530</v>
      </c>
      <c r="J23" s="198">
        <f t="shared" si="17"/>
        <v>2022.07</v>
      </c>
      <c r="K23" s="194">
        <f t="shared" si="32"/>
        <v>2022</v>
      </c>
      <c r="L23" s="194">
        <v>7</v>
      </c>
      <c r="M23" s="195" t="s">
        <v>343</v>
      </c>
      <c r="N23" s="203">
        <f t="shared" si="28"/>
        <v>2111151.39</v>
      </c>
      <c r="O23" s="203">
        <f t="shared" si="23"/>
        <v>738903.06</v>
      </c>
      <c r="P23" s="203">
        <f t="shared" si="24"/>
        <v>1372248.33</v>
      </c>
      <c r="Q23" s="203">
        <f t="shared" si="25"/>
        <v>17592.93</v>
      </c>
      <c r="R23" s="194">
        <f t="shared" si="29"/>
        <v>2032</v>
      </c>
      <c r="S23" s="194">
        <f t="shared" si="30"/>
        <v>6</v>
      </c>
      <c r="T23" s="174">
        <f t="shared" si="26"/>
        <v>17592.93</v>
      </c>
      <c r="U23" s="174">
        <f t="shared" si="26"/>
        <v>17592.93</v>
      </c>
      <c r="V23" s="174">
        <f t="shared" si="26"/>
        <v>17592.93</v>
      </c>
      <c r="W23" s="174">
        <f t="shared" si="26"/>
        <v>17592.93</v>
      </c>
      <c r="X23" s="174">
        <f t="shared" si="26"/>
        <v>17592.93</v>
      </c>
      <c r="Y23" s="174">
        <f t="shared" si="26"/>
        <v>17592.93</v>
      </c>
      <c r="Z23" s="174">
        <f t="shared" si="26"/>
        <v>17592.93</v>
      </c>
      <c r="AA23" s="174">
        <f t="shared" si="26"/>
        <v>17592.93</v>
      </c>
      <c r="AB23" s="174">
        <f t="shared" si="26"/>
        <v>17592.93</v>
      </c>
      <c r="AC23" s="174">
        <f t="shared" si="26"/>
        <v>17592.93</v>
      </c>
      <c r="AD23" s="174">
        <f t="shared" si="26"/>
        <v>17592.93</v>
      </c>
      <c r="AE23" s="174">
        <f t="shared" si="26"/>
        <v>17592.93</v>
      </c>
      <c r="AF23" s="174">
        <f t="shared" si="27"/>
        <v>211115.15999999995</v>
      </c>
      <c r="AG23" s="8">
        <f t="shared" si="20"/>
        <v>17592.93</v>
      </c>
      <c r="AH23" s="8">
        <f t="shared" si="21"/>
        <v>17592.93</v>
      </c>
      <c r="EW23" s="14">
        <f t="shared" si="14"/>
        <v>774088.92</v>
      </c>
      <c r="EX23" s="14">
        <f t="shared" si="15"/>
        <v>-1337062.4700000002</v>
      </c>
    </row>
    <row r="24" spans="1:154" x14ac:dyDescent="0.35">
      <c r="A24" s="194">
        <f t="shared" si="31"/>
        <v>2022</v>
      </c>
      <c r="B24" s="194">
        <v>8</v>
      </c>
      <c r="C24" s="195" t="s">
        <v>526</v>
      </c>
      <c r="D24" s="202">
        <v>3329194.84</v>
      </c>
      <c r="G24" s="214" t="s">
        <v>531</v>
      </c>
      <c r="J24" s="198">
        <f t="shared" si="17"/>
        <v>2022.08</v>
      </c>
      <c r="K24" s="194">
        <f t="shared" si="32"/>
        <v>2022</v>
      </c>
      <c r="L24" s="194">
        <v>8</v>
      </c>
      <c r="M24" s="195" t="s">
        <v>526</v>
      </c>
      <c r="N24" s="203">
        <f t="shared" si="28"/>
        <v>3329194.84</v>
      </c>
      <c r="O24" s="203">
        <f t="shared" si="23"/>
        <v>1137474.8900000001</v>
      </c>
      <c r="P24" s="203">
        <f t="shared" si="24"/>
        <v>2191719.9499999997</v>
      </c>
      <c r="Q24" s="203">
        <f t="shared" si="25"/>
        <v>27743.29</v>
      </c>
      <c r="R24" s="194">
        <f t="shared" si="29"/>
        <v>2032</v>
      </c>
      <c r="S24" s="194">
        <f t="shared" si="30"/>
        <v>7</v>
      </c>
      <c r="T24" s="174">
        <f t="shared" si="26"/>
        <v>27743.29</v>
      </c>
      <c r="U24" s="174">
        <f t="shared" si="26"/>
        <v>27743.29</v>
      </c>
      <c r="V24" s="174">
        <f t="shared" si="26"/>
        <v>27743.29</v>
      </c>
      <c r="W24" s="174">
        <f t="shared" si="26"/>
        <v>27743.29</v>
      </c>
      <c r="X24" s="174">
        <f t="shared" si="26"/>
        <v>27743.29</v>
      </c>
      <c r="Y24" s="174">
        <f t="shared" si="26"/>
        <v>27743.29</v>
      </c>
      <c r="Z24" s="174">
        <f t="shared" si="26"/>
        <v>27743.29</v>
      </c>
      <c r="AA24" s="174">
        <f t="shared" si="26"/>
        <v>27743.29</v>
      </c>
      <c r="AB24" s="174">
        <f t="shared" si="26"/>
        <v>27743.29</v>
      </c>
      <c r="AC24" s="174">
        <f t="shared" si="26"/>
        <v>27743.29</v>
      </c>
      <c r="AD24" s="174">
        <f t="shared" si="26"/>
        <v>27743.29</v>
      </c>
      <c r="AE24" s="174">
        <f t="shared" si="26"/>
        <v>27743.29</v>
      </c>
      <c r="AF24" s="174">
        <f t="shared" si="27"/>
        <v>332919.48</v>
      </c>
      <c r="AG24" s="8">
        <f t="shared" si="20"/>
        <v>27743.29</v>
      </c>
      <c r="AH24" s="8">
        <f t="shared" si="21"/>
        <v>27743.29</v>
      </c>
      <c r="EW24" s="14">
        <f t="shared" si="14"/>
        <v>1192961.4700000002</v>
      </c>
      <c r="EX24" s="14">
        <f t="shared" si="15"/>
        <v>-2136233.3699999996</v>
      </c>
    </row>
    <row r="25" spans="1:154" x14ac:dyDescent="0.35">
      <c r="A25" s="194">
        <f t="shared" si="31"/>
        <v>2022</v>
      </c>
      <c r="B25" s="194">
        <v>9</v>
      </c>
      <c r="C25" s="195" t="s">
        <v>527</v>
      </c>
      <c r="D25" s="202">
        <v>2800440.23</v>
      </c>
      <c r="G25" s="214">
        <v>2021</v>
      </c>
      <c r="J25" s="198">
        <f t="shared" si="17"/>
        <v>2022.09</v>
      </c>
      <c r="K25" s="194">
        <f t="shared" si="32"/>
        <v>2022</v>
      </c>
      <c r="L25" s="194">
        <v>9</v>
      </c>
      <c r="M25" s="195" t="s">
        <v>527</v>
      </c>
      <c r="N25" s="203">
        <f t="shared" si="28"/>
        <v>2800440.23</v>
      </c>
      <c r="O25" s="203">
        <f t="shared" si="23"/>
        <v>933480</v>
      </c>
      <c r="P25" s="203">
        <f t="shared" si="24"/>
        <v>1866960.23</v>
      </c>
      <c r="Q25" s="203">
        <f t="shared" si="25"/>
        <v>23337</v>
      </c>
      <c r="R25" s="194">
        <f t="shared" si="29"/>
        <v>2032</v>
      </c>
      <c r="S25" s="194">
        <f t="shared" si="30"/>
        <v>8</v>
      </c>
      <c r="T25" s="174">
        <f t="shared" si="26"/>
        <v>23337</v>
      </c>
      <c r="U25" s="174">
        <f t="shared" si="26"/>
        <v>23337</v>
      </c>
      <c r="V25" s="174">
        <f t="shared" si="26"/>
        <v>23337</v>
      </c>
      <c r="W25" s="174">
        <f t="shared" si="26"/>
        <v>23337</v>
      </c>
      <c r="X25" s="174">
        <f t="shared" si="26"/>
        <v>23337</v>
      </c>
      <c r="Y25" s="174">
        <f t="shared" si="26"/>
        <v>23337</v>
      </c>
      <c r="Z25" s="174">
        <f t="shared" si="26"/>
        <v>23337</v>
      </c>
      <c r="AA25" s="174">
        <f t="shared" si="26"/>
        <v>23337</v>
      </c>
      <c r="AB25" s="174">
        <f t="shared" si="26"/>
        <v>23337</v>
      </c>
      <c r="AC25" s="174">
        <f t="shared" si="26"/>
        <v>23337</v>
      </c>
      <c r="AD25" s="174">
        <f t="shared" si="26"/>
        <v>23337</v>
      </c>
      <c r="AE25" s="174">
        <f t="shared" si="26"/>
        <v>23337</v>
      </c>
      <c r="AF25" s="174">
        <f t="shared" si="27"/>
        <v>280044</v>
      </c>
      <c r="AG25" s="8">
        <f t="shared" si="20"/>
        <v>23337</v>
      </c>
      <c r="AH25" s="8">
        <f t="shared" si="21"/>
        <v>23337</v>
      </c>
      <c r="EW25" s="14">
        <f t="shared" si="14"/>
        <v>980154</v>
      </c>
      <c r="EX25" s="14">
        <f t="shared" si="15"/>
        <v>-1820286.23</v>
      </c>
    </row>
    <row r="26" spans="1:154" x14ac:dyDescent="0.35">
      <c r="A26" s="194">
        <f t="shared" si="31"/>
        <v>2022</v>
      </c>
      <c r="B26" s="204">
        <v>10</v>
      </c>
      <c r="C26" s="205" t="s">
        <v>528</v>
      </c>
      <c r="D26" s="202">
        <v>3329560.03</v>
      </c>
      <c r="G26" s="214" t="s">
        <v>532</v>
      </c>
      <c r="J26" s="198">
        <f t="shared" si="17"/>
        <v>2022.1</v>
      </c>
      <c r="K26" s="194">
        <f t="shared" si="32"/>
        <v>2022</v>
      </c>
      <c r="L26" s="204">
        <v>10</v>
      </c>
      <c r="M26" s="205" t="s">
        <v>528</v>
      </c>
      <c r="N26" s="203">
        <f t="shared" si="28"/>
        <v>3329560.03</v>
      </c>
      <c r="O26" s="203">
        <f t="shared" si="23"/>
        <v>1082106.8700000001</v>
      </c>
      <c r="P26" s="203">
        <f t="shared" si="24"/>
        <v>2247453.1599999997</v>
      </c>
      <c r="Q26" s="203">
        <f t="shared" si="25"/>
        <v>27746.33</v>
      </c>
      <c r="R26" s="194">
        <f t="shared" si="29"/>
        <v>2032</v>
      </c>
      <c r="S26" s="194">
        <f t="shared" si="30"/>
        <v>9</v>
      </c>
      <c r="T26" s="174">
        <f t="shared" si="26"/>
        <v>27746.33</v>
      </c>
      <c r="U26" s="174">
        <f t="shared" si="26"/>
        <v>27746.33</v>
      </c>
      <c r="V26" s="174">
        <f t="shared" si="26"/>
        <v>27746.33</v>
      </c>
      <c r="W26" s="174">
        <f t="shared" si="26"/>
        <v>27746.33</v>
      </c>
      <c r="X26" s="174">
        <f t="shared" si="26"/>
        <v>27746.33</v>
      </c>
      <c r="Y26" s="174">
        <f t="shared" si="26"/>
        <v>27746.33</v>
      </c>
      <c r="Z26" s="174">
        <f t="shared" si="26"/>
        <v>27746.33</v>
      </c>
      <c r="AA26" s="174">
        <f t="shared" si="26"/>
        <v>27746.33</v>
      </c>
      <c r="AB26" s="174">
        <f t="shared" si="26"/>
        <v>27746.33</v>
      </c>
      <c r="AC26" s="174">
        <f t="shared" si="26"/>
        <v>27746.33</v>
      </c>
      <c r="AD26" s="174">
        <f t="shared" si="26"/>
        <v>27746.33</v>
      </c>
      <c r="AE26" s="174">
        <f t="shared" si="26"/>
        <v>27746.33</v>
      </c>
      <c r="AF26" s="174">
        <f t="shared" si="27"/>
        <v>332955.96000000014</v>
      </c>
      <c r="AG26" s="8">
        <f t="shared" si="20"/>
        <v>27746.33</v>
      </c>
      <c r="AH26" s="8">
        <f t="shared" si="21"/>
        <v>27746.33</v>
      </c>
      <c r="EW26" s="14">
        <f t="shared" si="14"/>
        <v>1137599.53</v>
      </c>
      <c r="EX26" s="14">
        <f t="shared" si="15"/>
        <v>-2191960.5</v>
      </c>
    </row>
    <row r="27" spans="1:154" x14ac:dyDescent="0.35">
      <c r="A27" s="194">
        <f t="shared" si="31"/>
        <v>2022</v>
      </c>
      <c r="B27" s="204">
        <v>11</v>
      </c>
      <c r="C27" s="205" t="s">
        <v>529</v>
      </c>
      <c r="D27" s="202">
        <v>3473351.16</v>
      </c>
      <c r="G27" s="214">
        <v>2031</v>
      </c>
      <c r="J27" s="198">
        <f t="shared" si="17"/>
        <v>2022.11</v>
      </c>
      <c r="K27" s="194">
        <f t="shared" si="32"/>
        <v>2022</v>
      </c>
      <c r="L27" s="204">
        <v>11</v>
      </c>
      <c r="M27" s="205" t="s">
        <v>529</v>
      </c>
      <c r="N27" s="203">
        <f t="shared" si="28"/>
        <v>3473351.16</v>
      </c>
      <c r="O27" s="203">
        <f t="shared" si="23"/>
        <v>1099894.42</v>
      </c>
      <c r="P27" s="203">
        <f t="shared" si="24"/>
        <v>2373456.7400000002</v>
      </c>
      <c r="Q27" s="203">
        <f t="shared" si="25"/>
        <v>28944.59</v>
      </c>
      <c r="R27" s="194">
        <f t="shared" si="29"/>
        <v>2032</v>
      </c>
      <c r="S27" s="194">
        <f t="shared" si="30"/>
        <v>10</v>
      </c>
      <c r="T27" s="174">
        <f t="shared" si="26"/>
        <v>28944.59</v>
      </c>
      <c r="U27" s="174">
        <f t="shared" si="26"/>
        <v>28944.59</v>
      </c>
      <c r="V27" s="174">
        <f t="shared" si="26"/>
        <v>28944.59</v>
      </c>
      <c r="W27" s="174">
        <f t="shared" si="26"/>
        <v>28944.59</v>
      </c>
      <c r="X27" s="174">
        <f t="shared" si="26"/>
        <v>28944.59</v>
      </c>
      <c r="Y27" s="174">
        <f t="shared" si="26"/>
        <v>28944.59</v>
      </c>
      <c r="Z27" s="174">
        <f t="shared" si="26"/>
        <v>28944.59</v>
      </c>
      <c r="AA27" s="174">
        <f t="shared" si="26"/>
        <v>28944.59</v>
      </c>
      <c r="AB27" s="174">
        <f t="shared" si="26"/>
        <v>28944.59</v>
      </c>
      <c r="AC27" s="174">
        <f t="shared" si="26"/>
        <v>28944.59</v>
      </c>
      <c r="AD27" s="174">
        <f t="shared" si="26"/>
        <v>28944.59</v>
      </c>
      <c r="AE27" s="174">
        <f t="shared" si="26"/>
        <v>28944.59</v>
      </c>
      <c r="AF27" s="174">
        <f t="shared" si="27"/>
        <v>347335.08000000007</v>
      </c>
      <c r="AG27" s="8">
        <f t="shared" si="20"/>
        <v>28944.59</v>
      </c>
      <c r="AH27" s="8">
        <f t="shared" si="21"/>
        <v>28944.59</v>
      </c>
      <c r="EW27" s="14">
        <f t="shared" si="14"/>
        <v>1157783.5999999999</v>
      </c>
      <c r="EX27" s="14">
        <f t="shared" si="15"/>
        <v>-2315567.5600000005</v>
      </c>
    </row>
    <row r="28" spans="1:154" x14ac:dyDescent="0.35">
      <c r="A28" s="194">
        <f t="shared" si="31"/>
        <v>2022</v>
      </c>
      <c r="B28" s="204">
        <v>12</v>
      </c>
      <c r="C28" s="205" t="s">
        <v>523</v>
      </c>
      <c r="D28" s="207">
        <v>3958975.08</v>
      </c>
      <c r="G28" s="214" t="s">
        <v>533</v>
      </c>
      <c r="J28" s="198">
        <f t="shared" si="17"/>
        <v>2022.12</v>
      </c>
      <c r="K28" s="194">
        <f t="shared" si="32"/>
        <v>2022</v>
      </c>
      <c r="L28" s="204">
        <v>12</v>
      </c>
      <c r="M28" s="205" t="s">
        <v>523</v>
      </c>
      <c r="N28" s="203">
        <f t="shared" si="28"/>
        <v>3958975.08</v>
      </c>
      <c r="O28" s="203">
        <f t="shared" si="23"/>
        <v>1220684.02</v>
      </c>
      <c r="P28" s="203">
        <f t="shared" si="24"/>
        <v>2738291.06</v>
      </c>
      <c r="Q28" s="203">
        <f t="shared" si="25"/>
        <v>32991.46</v>
      </c>
      <c r="R28" s="194">
        <f t="shared" si="29"/>
        <v>2032</v>
      </c>
      <c r="S28" s="194">
        <f t="shared" si="30"/>
        <v>11</v>
      </c>
      <c r="T28" s="174">
        <f t="shared" si="26"/>
        <v>32991.46</v>
      </c>
      <c r="U28" s="174">
        <f t="shared" si="26"/>
        <v>32991.46</v>
      </c>
      <c r="V28" s="174">
        <f t="shared" si="26"/>
        <v>32991.46</v>
      </c>
      <c r="W28" s="174">
        <f t="shared" si="26"/>
        <v>32991.46</v>
      </c>
      <c r="X28" s="174">
        <f t="shared" si="26"/>
        <v>32991.46</v>
      </c>
      <c r="Y28" s="174">
        <f t="shared" si="26"/>
        <v>32991.46</v>
      </c>
      <c r="Z28" s="174">
        <f t="shared" si="26"/>
        <v>32991.46</v>
      </c>
      <c r="AA28" s="174">
        <f t="shared" si="26"/>
        <v>32991.46</v>
      </c>
      <c r="AB28" s="174">
        <f t="shared" si="26"/>
        <v>32991.46</v>
      </c>
      <c r="AC28" s="174">
        <f t="shared" si="26"/>
        <v>32991.46</v>
      </c>
      <c r="AD28" s="174">
        <f t="shared" si="26"/>
        <v>32991.46</v>
      </c>
      <c r="AE28" s="174">
        <f t="shared" si="26"/>
        <v>32991.46</v>
      </c>
      <c r="AF28" s="174">
        <f t="shared" si="27"/>
        <v>395897.52000000008</v>
      </c>
      <c r="AG28" s="8">
        <f t="shared" si="20"/>
        <v>32991.46</v>
      </c>
      <c r="AH28" s="8">
        <f t="shared" si="21"/>
        <v>32991.46</v>
      </c>
      <c r="EW28" s="14">
        <f t="shared" si="14"/>
        <v>1286666.94</v>
      </c>
      <c r="EX28" s="14">
        <f t="shared" si="15"/>
        <v>-2672308.14</v>
      </c>
    </row>
    <row r="29" spans="1:154" x14ac:dyDescent="0.35">
      <c r="A29" s="208">
        <f>+A28</f>
        <v>2022</v>
      </c>
      <c r="B29" s="208"/>
      <c r="C29" s="209" t="s">
        <v>116</v>
      </c>
      <c r="D29" s="210">
        <f>SUM(D17:D28)</f>
        <v>27391397.520000003</v>
      </c>
      <c r="J29" s="211"/>
      <c r="K29" s="208">
        <f>+K28</f>
        <v>2022</v>
      </c>
      <c r="L29" s="208"/>
      <c r="M29" s="209" t="s">
        <v>116</v>
      </c>
      <c r="N29" s="210">
        <f>SUM(N17:N28)</f>
        <v>27391397.520000003</v>
      </c>
      <c r="O29" s="210">
        <f>SUM(O17:O28)</f>
        <v>9425972.2700000014</v>
      </c>
      <c r="P29" s="210">
        <f>SUM(P17:P28)</f>
        <v>17965425.25</v>
      </c>
      <c r="Q29" s="210">
        <f>SUM(Q17:Q28)</f>
        <v>228261.64</v>
      </c>
      <c r="R29" s="210"/>
      <c r="S29" s="210"/>
      <c r="T29" s="210">
        <f t="shared" ref="T29:AF29" si="33">SUM(T17:T28)</f>
        <v>228261.64</v>
      </c>
      <c r="U29" s="210">
        <f t="shared" si="33"/>
        <v>228261.64</v>
      </c>
      <c r="V29" s="210">
        <f t="shared" si="33"/>
        <v>228261.64</v>
      </c>
      <c r="W29" s="210">
        <f t="shared" si="33"/>
        <v>228261.64</v>
      </c>
      <c r="X29" s="210">
        <f t="shared" si="33"/>
        <v>228261.64</v>
      </c>
      <c r="Y29" s="210">
        <f t="shared" si="33"/>
        <v>228261.64</v>
      </c>
      <c r="Z29" s="210">
        <f t="shared" si="33"/>
        <v>228261.64</v>
      </c>
      <c r="AA29" s="210">
        <f t="shared" si="33"/>
        <v>228261.64</v>
      </c>
      <c r="AB29" s="210">
        <f t="shared" si="33"/>
        <v>228261.64</v>
      </c>
      <c r="AC29" s="210">
        <f t="shared" si="33"/>
        <v>228261.64</v>
      </c>
      <c r="AD29" s="210">
        <f t="shared" si="33"/>
        <v>228261.64</v>
      </c>
      <c r="AE29" s="210">
        <f t="shared" si="33"/>
        <v>228261.64</v>
      </c>
      <c r="AF29" s="210">
        <f t="shared" si="33"/>
        <v>2739139.68</v>
      </c>
      <c r="AG29" s="8">
        <f t="shared" si="20"/>
        <v>228261.64</v>
      </c>
      <c r="AH29" s="8">
        <f t="shared" si="21"/>
        <v>228261.64</v>
      </c>
      <c r="EW29" s="14">
        <f t="shared" si="14"/>
        <v>9882495.5500000007</v>
      </c>
      <c r="EX29" s="14">
        <f t="shared" si="15"/>
        <v>-17508901.970000003</v>
      </c>
    </row>
    <row r="30" spans="1:154" x14ac:dyDescent="0.35">
      <c r="A30" s="194">
        <f>+A29+1</f>
        <v>2023</v>
      </c>
      <c r="B30" s="194">
        <v>1</v>
      </c>
      <c r="C30" s="195" t="s">
        <v>524</v>
      </c>
      <c r="D30" s="196">
        <v>4759122.99</v>
      </c>
      <c r="I30" s="94"/>
      <c r="J30" s="198">
        <f t="shared" si="17"/>
        <v>2023.01</v>
      </c>
      <c r="K30" s="194">
        <f>+K29+1</f>
        <v>2023</v>
      </c>
      <c r="L30" s="194">
        <v>1</v>
      </c>
      <c r="M30" s="195" t="s">
        <v>524</v>
      </c>
      <c r="N30" s="199">
        <f>IF(I$3-J30&gt;=0,D30,0)</f>
        <v>4759122.99</v>
      </c>
      <c r="O30" s="200">
        <f t="shared" ref="O30:O41" si="34">IF((H$3-K30)*12+(H$2-L30+1)&gt;=$H$6,N30,IF((H$3-K30)*12+(H$2-L30+1)&lt;0,0,((H$3-K30)*12+(H$2-L30+1))*Q30))</f>
        <v>1427736.96</v>
      </c>
      <c r="P30" s="201">
        <f t="shared" ref="P30:P41" si="35">+N30-O30</f>
        <v>3331386.0300000003</v>
      </c>
      <c r="Q30" s="201">
        <f t="shared" ref="Q30:Q41" si="36">ROUND(N30/H$6,2)</f>
        <v>39659.360000000001</v>
      </c>
      <c r="R30" s="194">
        <f>+R28</f>
        <v>2032</v>
      </c>
      <c r="S30" s="194">
        <f>+S28+1</f>
        <v>12</v>
      </c>
      <c r="T30" s="200">
        <f t="shared" ref="T30:AE41" si="37">IF($H$3=$K30,IF(T$8&lt;$L30,0,$Q30))+IF($H$3&lt;$R30,$Q30,0)+IF($H$3=$R30,IF(T$8&lt;$S30,$Q30,0))+IF($H$3=$R30,IF(T$8=$S30,$Q30,IF($H$3&gt;$R30,0)))+IF($O30=0,-$Q30,IF($H$3&gt;$K30,0,-$Q30))</f>
        <v>39659.360000000001</v>
      </c>
      <c r="U30" s="200">
        <f t="shared" si="37"/>
        <v>39659.360000000001</v>
      </c>
      <c r="V30" s="200">
        <f t="shared" si="37"/>
        <v>39659.360000000001</v>
      </c>
      <c r="W30" s="200">
        <f t="shared" si="37"/>
        <v>39659.360000000001</v>
      </c>
      <c r="X30" s="200">
        <f t="shared" si="37"/>
        <v>39659.360000000001</v>
      </c>
      <c r="Y30" s="200">
        <f t="shared" si="37"/>
        <v>39659.360000000001</v>
      </c>
      <c r="Z30" s="200">
        <f t="shared" si="37"/>
        <v>39659.360000000001</v>
      </c>
      <c r="AA30" s="200">
        <f t="shared" si="37"/>
        <v>39659.360000000001</v>
      </c>
      <c r="AB30" s="200">
        <f t="shared" si="37"/>
        <v>39659.360000000001</v>
      </c>
      <c r="AC30" s="200">
        <f t="shared" si="37"/>
        <v>39659.360000000001</v>
      </c>
      <c r="AD30" s="200">
        <f t="shared" si="37"/>
        <v>39659.360000000001</v>
      </c>
      <c r="AE30" s="200">
        <f t="shared" si="37"/>
        <v>39659.360000000001</v>
      </c>
      <c r="AF30" s="200">
        <f t="shared" ref="AF30:AF41" si="38">SUM(T30:AE30)</f>
        <v>475912.31999999989</v>
      </c>
      <c r="AG30" s="8">
        <f t="shared" si="20"/>
        <v>39659.360000000001</v>
      </c>
      <c r="AH30" s="8">
        <f t="shared" si="21"/>
        <v>39659.360000000001</v>
      </c>
      <c r="EW30" s="14">
        <f t="shared" si="14"/>
        <v>1507055.68</v>
      </c>
      <c r="EX30" s="14">
        <f t="shared" si="15"/>
        <v>-3252067.3100000005</v>
      </c>
    </row>
    <row r="31" spans="1:154" x14ac:dyDescent="0.35">
      <c r="A31" s="194">
        <f>+A30</f>
        <v>2023</v>
      </c>
      <c r="B31" s="194">
        <v>2</v>
      </c>
      <c r="C31" s="195" t="s">
        <v>525</v>
      </c>
      <c r="D31" s="212">
        <v>3907633.09</v>
      </c>
      <c r="I31" s="94"/>
      <c r="J31" s="198">
        <f t="shared" si="17"/>
        <v>2023.02</v>
      </c>
      <c r="K31" s="194">
        <f>+K30</f>
        <v>2023</v>
      </c>
      <c r="L31" s="194">
        <v>2</v>
      </c>
      <c r="M31" s="195" t="s">
        <v>525</v>
      </c>
      <c r="N31" s="203">
        <f t="shared" ref="N31:N41" si="39">IF(I$3-J31&gt;=0,D31,0)</f>
        <v>3907633.09</v>
      </c>
      <c r="O31" s="203">
        <f t="shared" si="34"/>
        <v>1139726.3500000001</v>
      </c>
      <c r="P31" s="203">
        <f t="shared" si="35"/>
        <v>2767906.7399999998</v>
      </c>
      <c r="Q31" s="203">
        <f t="shared" si="36"/>
        <v>32563.61</v>
      </c>
      <c r="R31" s="194">
        <f t="shared" ref="R31:R41" si="40">+K31+$H$5</f>
        <v>2033</v>
      </c>
      <c r="S31" s="194">
        <f t="shared" ref="S31:S41" si="41">+L31-1</f>
        <v>1</v>
      </c>
      <c r="T31" s="174">
        <f t="shared" si="37"/>
        <v>32563.61</v>
      </c>
      <c r="U31" s="174">
        <f t="shared" si="37"/>
        <v>32563.61</v>
      </c>
      <c r="V31" s="174">
        <f t="shared" si="37"/>
        <v>32563.61</v>
      </c>
      <c r="W31" s="174">
        <f t="shared" si="37"/>
        <v>32563.61</v>
      </c>
      <c r="X31" s="174">
        <f t="shared" si="37"/>
        <v>32563.61</v>
      </c>
      <c r="Y31" s="174">
        <f t="shared" si="37"/>
        <v>32563.61</v>
      </c>
      <c r="Z31" s="174">
        <f t="shared" si="37"/>
        <v>32563.61</v>
      </c>
      <c r="AA31" s="174">
        <f t="shared" si="37"/>
        <v>32563.61</v>
      </c>
      <c r="AB31" s="174">
        <f t="shared" si="37"/>
        <v>32563.61</v>
      </c>
      <c r="AC31" s="174">
        <f t="shared" si="37"/>
        <v>32563.61</v>
      </c>
      <c r="AD31" s="174">
        <f t="shared" si="37"/>
        <v>32563.61</v>
      </c>
      <c r="AE31" s="174">
        <f t="shared" si="37"/>
        <v>32563.61</v>
      </c>
      <c r="AF31" s="174">
        <f t="shared" si="38"/>
        <v>390763.31999999989</v>
      </c>
      <c r="AG31" s="8">
        <f t="shared" si="20"/>
        <v>32563.61</v>
      </c>
      <c r="AH31" s="8">
        <f t="shared" si="21"/>
        <v>32563.61</v>
      </c>
      <c r="EW31" s="14">
        <f t="shared" si="14"/>
        <v>1204853.57</v>
      </c>
      <c r="EX31" s="14">
        <f t="shared" si="15"/>
        <v>-2702779.5199999996</v>
      </c>
    </row>
    <row r="32" spans="1:154" x14ac:dyDescent="0.35">
      <c r="A32" s="194">
        <f t="shared" ref="A32:A41" si="42">+A31</f>
        <v>2023</v>
      </c>
      <c r="B32" s="194">
        <v>3</v>
      </c>
      <c r="C32" s="195" t="s">
        <v>302</v>
      </c>
      <c r="D32" s="212">
        <v>4101726.46</v>
      </c>
      <c r="I32" s="94"/>
      <c r="J32" s="198">
        <f t="shared" si="17"/>
        <v>2023.03</v>
      </c>
      <c r="K32" s="194">
        <f t="shared" ref="K32:K41" si="43">+K31</f>
        <v>2023</v>
      </c>
      <c r="L32" s="194">
        <v>3</v>
      </c>
      <c r="M32" s="195" t="s">
        <v>302</v>
      </c>
      <c r="N32" s="203">
        <f t="shared" si="39"/>
        <v>4101726.46</v>
      </c>
      <c r="O32" s="203">
        <f t="shared" si="34"/>
        <v>1162155.7000000002</v>
      </c>
      <c r="P32" s="203">
        <f t="shared" si="35"/>
        <v>2939570.76</v>
      </c>
      <c r="Q32" s="203">
        <f t="shared" si="36"/>
        <v>34181.050000000003</v>
      </c>
      <c r="R32" s="194">
        <f t="shared" si="40"/>
        <v>2033</v>
      </c>
      <c r="S32" s="194">
        <f t="shared" si="41"/>
        <v>2</v>
      </c>
      <c r="T32" s="174">
        <f t="shared" si="37"/>
        <v>34181.050000000003</v>
      </c>
      <c r="U32" s="174">
        <f t="shared" si="37"/>
        <v>34181.050000000003</v>
      </c>
      <c r="V32" s="174">
        <f t="shared" si="37"/>
        <v>34181.050000000003</v>
      </c>
      <c r="W32" s="174">
        <f t="shared" si="37"/>
        <v>34181.050000000003</v>
      </c>
      <c r="X32" s="174">
        <f t="shared" si="37"/>
        <v>34181.050000000003</v>
      </c>
      <c r="Y32" s="174">
        <f t="shared" si="37"/>
        <v>34181.050000000003</v>
      </c>
      <c r="Z32" s="174">
        <f t="shared" si="37"/>
        <v>34181.050000000003</v>
      </c>
      <c r="AA32" s="174">
        <f t="shared" si="37"/>
        <v>34181.050000000003</v>
      </c>
      <c r="AB32" s="174">
        <f t="shared" si="37"/>
        <v>34181.050000000003</v>
      </c>
      <c r="AC32" s="174">
        <f t="shared" si="37"/>
        <v>34181.050000000003</v>
      </c>
      <c r="AD32" s="174">
        <f t="shared" si="37"/>
        <v>34181.050000000003</v>
      </c>
      <c r="AE32" s="174">
        <f t="shared" si="37"/>
        <v>34181.050000000003</v>
      </c>
      <c r="AF32" s="174">
        <f t="shared" si="38"/>
        <v>410172.59999999992</v>
      </c>
      <c r="AG32" s="8">
        <f t="shared" si="20"/>
        <v>34181.050000000003</v>
      </c>
      <c r="AH32" s="8">
        <f t="shared" si="21"/>
        <v>34181.050000000003</v>
      </c>
      <c r="EW32" s="14">
        <f t="shared" si="14"/>
        <v>1230517.8000000003</v>
      </c>
      <c r="EX32" s="14">
        <f t="shared" si="15"/>
        <v>-2871208.6599999997</v>
      </c>
    </row>
    <row r="33" spans="1:154" x14ac:dyDescent="0.35">
      <c r="A33" s="194">
        <f t="shared" si="42"/>
        <v>2023</v>
      </c>
      <c r="B33" s="194">
        <v>4</v>
      </c>
      <c r="C33" s="195" t="s">
        <v>303</v>
      </c>
      <c r="D33" s="212">
        <v>2417271.29</v>
      </c>
      <c r="I33" s="94"/>
      <c r="J33" s="198">
        <f t="shared" si="17"/>
        <v>2023.04</v>
      </c>
      <c r="K33" s="194">
        <f t="shared" si="43"/>
        <v>2023</v>
      </c>
      <c r="L33" s="194">
        <v>4</v>
      </c>
      <c r="M33" s="195" t="s">
        <v>303</v>
      </c>
      <c r="N33" s="203">
        <f t="shared" si="39"/>
        <v>2417271.29</v>
      </c>
      <c r="O33" s="203">
        <f t="shared" si="34"/>
        <v>664749.69000000006</v>
      </c>
      <c r="P33" s="203">
        <f t="shared" si="35"/>
        <v>1752521.6</v>
      </c>
      <c r="Q33" s="203">
        <f t="shared" si="36"/>
        <v>20143.93</v>
      </c>
      <c r="R33" s="194">
        <f t="shared" si="40"/>
        <v>2033</v>
      </c>
      <c r="S33" s="194">
        <f t="shared" si="41"/>
        <v>3</v>
      </c>
      <c r="T33" s="174">
        <f t="shared" si="37"/>
        <v>20143.93</v>
      </c>
      <c r="U33" s="174">
        <f t="shared" si="37"/>
        <v>20143.93</v>
      </c>
      <c r="V33" s="174">
        <f t="shared" si="37"/>
        <v>20143.93</v>
      </c>
      <c r="W33" s="174">
        <f t="shared" si="37"/>
        <v>20143.93</v>
      </c>
      <c r="X33" s="174">
        <f t="shared" si="37"/>
        <v>20143.93</v>
      </c>
      <c r="Y33" s="174">
        <f t="shared" si="37"/>
        <v>20143.93</v>
      </c>
      <c r="Z33" s="174">
        <f t="shared" si="37"/>
        <v>20143.93</v>
      </c>
      <c r="AA33" s="174">
        <f t="shared" si="37"/>
        <v>20143.93</v>
      </c>
      <c r="AB33" s="174">
        <f t="shared" si="37"/>
        <v>20143.93</v>
      </c>
      <c r="AC33" s="174">
        <f t="shared" si="37"/>
        <v>20143.93</v>
      </c>
      <c r="AD33" s="174">
        <f t="shared" si="37"/>
        <v>20143.93</v>
      </c>
      <c r="AE33" s="174">
        <f t="shared" si="37"/>
        <v>20143.93</v>
      </c>
      <c r="AF33" s="174">
        <f t="shared" si="38"/>
        <v>241727.15999999995</v>
      </c>
      <c r="AG33" s="8">
        <f t="shared" si="20"/>
        <v>20143.93</v>
      </c>
      <c r="AH33" s="8">
        <f t="shared" si="21"/>
        <v>20143.93</v>
      </c>
      <c r="EW33" s="14">
        <f t="shared" si="14"/>
        <v>705037.55</v>
      </c>
      <c r="EX33" s="14">
        <f t="shared" si="15"/>
        <v>-1712233.74</v>
      </c>
    </row>
    <row r="34" spans="1:154" x14ac:dyDescent="0.35">
      <c r="A34" s="194">
        <f t="shared" si="42"/>
        <v>2023</v>
      </c>
      <c r="B34" s="194">
        <v>5</v>
      </c>
      <c r="C34" s="195" t="s">
        <v>166</v>
      </c>
      <c r="D34" s="212">
        <v>3185573.49</v>
      </c>
      <c r="I34" s="94"/>
      <c r="J34" s="198">
        <f t="shared" si="17"/>
        <v>2023.05</v>
      </c>
      <c r="K34" s="194">
        <f t="shared" si="43"/>
        <v>2023</v>
      </c>
      <c r="L34" s="194">
        <v>5</v>
      </c>
      <c r="M34" s="195" t="s">
        <v>166</v>
      </c>
      <c r="N34" s="203">
        <f t="shared" si="39"/>
        <v>3185573.49</v>
      </c>
      <c r="O34" s="203">
        <f t="shared" si="34"/>
        <v>849486.4</v>
      </c>
      <c r="P34" s="203">
        <f t="shared" si="35"/>
        <v>2336087.0900000003</v>
      </c>
      <c r="Q34" s="203">
        <f t="shared" si="36"/>
        <v>26546.45</v>
      </c>
      <c r="R34" s="194">
        <f t="shared" si="40"/>
        <v>2033</v>
      </c>
      <c r="S34" s="194">
        <f t="shared" si="41"/>
        <v>4</v>
      </c>
      <c r="T34" s="174">
        <f t="shared" si="37"/>
        <v>26546.45</v>
      </c>
      <c r="U34" s="174">
        <f t="shared" si="37"/>
        <v>26546.45</v>
      </c>
      <c r="V34" s="174">
        <f t="shared" si="37"/>
        <v>26546.45</v>
      </c>
      <c r="W34" s="174">
        <f t="shared" si="37"/>
        <v>26546.45</v>
      </c>
      <c r="X34" s="174">
        <f t="shared" si="37"/>
        <v>26546.45</v>
      </c>
      <c r="Y34" s="174">
        <f t="shared" si="37"/>
        <v>26546.45</v>
      </c>
      <c r="Z34" s="174">
        <f t="shared" si="37"/>
        <v>26546.45</v>
      </c>
      <c r="AA34" s="174">
        <f t="shared" si="37"/>
        <v>26546.45</v>
      </c>
      <c r="AB34" s="174">
        <f t="shared" si="37"/>
        <v>26546.45</v>
      </c>
      <c r="AC34" s="174">
        <f t="shared" si="37"/>
        <v>26546.45</v>
      </c>
      <c r="AD34" s="174">
        <f t="shared" si="37"/>
        <v>26546.45</v>
      </c>
      <c r="AE34" s="174">
        <f t="shared" si="37"/>
        <v>26546.45</v>
      </c>
      <c r="AF34" s="174">
        <f t="shared" si="38"/>
        <v>318557.40000000008</v>
      </c>
      <c r="AG34" s="8">
        <f t="shared" si="20"/>
        <v>26546.45</v>
      </c>
      <c r="AH34" s="8">
        <f t="shared" si="21"/>
        <v>26546.45</v>
      </c>
      <c r="EW34" s="14">
        <f t="shared" si="14"/>
        <v>902579.3</v>
      </c>
      <c r="EX34" s="14">
        <f t="shared" si="15"/>
        <v>-2282994.1900000004</v>
      </c>
    </row>
    <row r="35" spans="1:154" x14ac:dyDescent="0.35">
      <c r="A35" s="194">
        <f t="shared" si="42"/>
        <v>2023</v>
      </c>
      <c r="B35" s="194">
        <v>6</v>
      </c>
      <c r="C35" s="195" t="s">
        <v>304</v>
      </c>
      <c r="D35" s="202">
        <v>5813394.0800000001</v>
      </c>
      <c r="I35" s="94"/>
      <c r="J35" s="198">
        <f t="shared" si="17"/>
        <v>2023.06</v>
      </c>
      <c r="K35" s="194">
        <f t="shared" si="43"/>
        <v>2023</v>
      </c>
      <c r="L35" s="194">
        <v>6</v>
      </c>
      <c r="M35" s="195" t="s">
        <v>304</v>
      </c>
      <c r="N35" s="203">
        <f t="shared" si="39"/>
        <v>5813394.0800000001</v>
      </c>
      <c r="O35" s="203">
        <f t="shared" si="34"/>
        <v>1501793.45</v>
      </c>
      <c r="P35" s="203">
        <f t="shared" si="35"/>
        <v>4311600.63</v>
      </c>
      <c r="Q35" s="203">
        <f t="shared" si="36"/>
        <v>48444.95</v>
      </c>
      <c r="R35" s="194">
        <f t="shared" si="40"/>
        <v>2033</v>
      </c>
      <c r="S35" s="194">
        <f t="shared" si="41"/>
        <v>5</v>
      </c>
      <c r="T35" s="174">
        <f t="shared" si="37"/>
        <v>48444.95</v>
      </c>
      <c r="U35" s="174">
        <f t="shared" si="37"/>
        <v>48444.95</v>
      </c>
      <c r="V35" s="174">
        <f t="shared" si="37"/>
        <v>48444.95</v>
      </c>
      <c r="W35" s="174">
        <f t="shared" si="37"/>
        <v>48444.95</v>
      </c>
      <c r="X35" s="174">
        <f t="shared" si="37"/>
        <v>48444.95</v>
      </c>
      <c r="Y35" s="174">
        <f t="shared" si="37"/>
        <v>48444.95</v>
      </c>
      <c r="Z35" s="174">
        <f t="shared" si="37"/>
        <v>48444.95</v>
      </c>
      <c r="AA35" s="174">
        <f t="shared" si="37"/>
        <v>48444.95</v>
      </c>
      <c r="AB35" s="174">
        <f t="shared" si="37"/>
        <v>48444.95</v>
      </c>
      <c r="AC35" s="174">
        <f t="shared" si="37"/>
        <v>48444.95</v>
      </c>
      <c r="AD35" s="174">
        <f t="shared" si="37"/>
        <v>48444.95</v>
      </c>
      <c r="AE35" s="174">
        <f t="shared" si="37"/>
        <v>48444.95</v>
      </c>
      <c r="AF35" s="174">
        <f t="shared" si="38"/>
        <v>581339.4</v>
      </c>
      <c r="AG35" s="8">
        <f t="shared" si="20"/>
        <v>48444.95</v>
      </c>
      <c r="AH35" s="8">
        <f t="shared" si="21"/>
        <v>48444.95</v>
      </c>
      <c r="EW35" s="14">
        <f t="shared" si="14"/>
        <v>1598683.3499999999</v>
      </c>
      <c r="EX35" s="14">
        <f t="shared" si="15"/>
        <v>-4214710.7300000004</v>
      </c>
    </row>
    <row r="36" spans="1:154" x14ac:dyDescent="0.35">
      <c r="A36" s="194">
        <f t="shared" si="42"/>
        <v>2023</v>
      </c>
      <c r="B36" s="194">
        <v>7</v>
      </c>
      <c r="C36" s="195" t="s">
        <v>343</v>
      </c>
      <c r="D36" s="202">
        <v>2932762.22</v>
      </c>
      <c r="I36" s="94"/>
      <c r="J36" s="198">
        <f t="shared" si="17"/>
        <v>2023.07</v>
      </c>
      <c r="K36" s="194">
        <f t="shared" si="43"/>
        <v>2023</v>
      </c>
      <c r="L36" s="194">
        <v>7</v>
      </c>
      <c r="M36" s="195" t="s">
        <v>343</v>
      </c>
      <c r="N36" s="203">
        <f t="shared" si="39"/>
        <v>2932762.22</v>
      </c>
      <c r="O36" s="203">
        <f t="shared" si="34"/>
        <v>733190.7</v>
      </c>
      <c r="P36" s="203">
        <f t="shared" si="35"/>
        <v>2199571.5200000005</v>
      </c>
      <c r="Q36" s="203">
        <f t="shared" si="36"/>
        <v>24439.69</v>
      </c>
      <c r="R36" s="194">
        <f t="shared" si="40"/>
        <v>2033</v>
      </c>
      <c r="S36" s="194">
        <f t="shared" si="41"/>
        <v>6</v>
      </c>
      <c r="T36" s="174">
        <f t="shared" si="37"/>
        <v>24439.69</v>
      </c>
      <c r="U36" s="174">
        <f t="shared" si="37"/>
        <v>24439.69</v>
      </c>
      <c r="V36" s="174">
        <f t="shared" si="37"/>
        <v>24439.69</v>
      </c>
      <c r="W36" s="174">
        <f t="shared" si="37"/>
        <v>24439.69</v>
      </c>
      <c r="X36" s="174">
        <f t="shared" si="37"/>
        <v>24439.69</v>
      </c>
      <c r="Y36" s="174">
        <f t="shared" si="37"/>
        <v>24439.69</v>
      </c>
      <c r="Z36" s="174">
        <f t="shared" si="37"/>
        <v>24439.69</v>
      </c>
      <c r="AA36" s="174">
        <f t="shared" si="37"/>
        <v>24439.69</v>
      </c>
      <c r="AB36" s="174">
        <f t="shared" si="37"/>
        <v>24439.69</v>
      </c>
      <c r="AC36" s="174">
        <f t="shared" si="37"/>
        <v>24439.69</v>
      </c>
      <c r="AD36" s="174">
        <f t="shared" si="37"/>
        <v>24439.69</v>
      </c>
      <c r="AE36" s="174">
        <f t="shared" si="37"/>
        <v>24439.69</v>
      </c>
      <c r="AF36" s="174">
        <f t="shared" si="38"/>
        <v>293276.27999999997</v>
      </c>
      <c r="AG36" s="8">
        <f t="shared" si="20"/>
        <v>24439.69</v>
      </c>
      <c r="AH36" s="8">
        <f t="shared" si="21"/>
        <v>24439.69</v>
      </c>
      <c r="EW36" s="14">
        <f t="shared" si="14"/>
        <v>782070.08</v>
      </c>
      <c r="EX36" s="14">
        <f t="shared" si="15"/>
        <v>-2150692.14</v>
      </c>
    </row>
    <row r="37" spans="1:154" x14ac:dyDescent="0.35">
      <c r="A37" s="194">
        <f t="shared" si="42"/>
        <v>2023</v>
      </c>
      <c r="B37" s="194">
        <v>8</v>
      </c>
      <c r="C37" s="195" t="s">
        <v>526</v>
      </c>
      <c r="D37" s="202">
        <v>4172367.84</v>
      </c>
      <c r="I37" s="94"/>
      <c r="J37" s="198">
        <f t="shared" si="17"/>
        <v>2023.08</v>
      </c>
      <c r="K37" s="194">
        <f t="shared" si="43"/>
        <v>2023</v>
      </c>
      <c r="L37" s="194">
        <v>8</v>
      </c>
      <c r="M37" s="195" t="s">
        <v>526</v>
      </c>
      <c r="N37" s="203">
        <f t="shared" si="39"/>
        <v>4172367.84</v>
      </c>
      <c r="O37" s="203">
        <f t="shared" si="34"/>
        <v>1008322.17</v>
      </c>
      <c r="P37" s="203">
        <f t="shared" si="35"/>
        <v>3164045.67</v>
      </c>
      <c r="Q37" s="203">
        <f t="shared" si="36"/>
        <v>34769.730000000003</v>
      </c>
      <c r="R37" s="194">
        <f t="shared" si="40"/>
        <v>2033</v>
      </c>
      <c r="S37" s="194">
        <f t="shared" si="41"/>
        <v>7</v>
      </c>
      <c r="T37" s="174">
        <f t="shared" si="37"/>
        <v>34769.730000000003</v>
      </c>
      <c r="U37" s="174">
        <f t="shared" si="37"/>
        <v>34769.730000000003</v>
      </c>
      <c r="V37" s="174">
        <f t="shared" si="37"/>
        <v>34769.730000000003</v>
      </c>
      <c r="W37" s="174">
        <f t="shared" si="37"/>
        <v>34769.730000000003</v>
      </c>
      <c r="X37" s="174">
        <f t="shared" si="37"/>
        <v>34769.730000000003</v>
      </c>
      <c r="Y37" s="174">
        <f t="shared" si="37"/>
        <v>34769.730000000003</v>
      </c>
      <c r="Z37" s="174">
        <f t="shared" si="37"/>
        <v>34769.730000000003</v>
      </c>
      <c r="AA37" s="174">
        <f t="shared" si="37"/>
        <v>34769.730000000003</v>
      </c>
      <c r="AB37" s="174">
        <f t="shared" si="37"/>
        <v>34769.730000000003</v>
      </c>
      <c r="AC37" s="174">
        <f t="shared" si="37"/>
        <v>34769.730000000003</v>
      </c>
      <c r="AD37" s="174">
        <f t="shared" si="37"/>
        <v>34769.730000000003</v>
      </c>
      <c r="AE37" s="174">
        <f t="shared" si="37"/>
        <v>34769.730000000003</v>
      </c>
      <c r="AF37" s="174">
        <f t="shared" si="38"/>
        <v>417236.75999999995</v>
      </c>
      <c r="AG37" s="8">
        <f t="shared" si="20"/>
        <v>34769.730000000003</v>
      </c>
      <c r="AH37" s="8">
        <f t="shared" si="21"/>
        <v>34769.730000000003</v>
      </c>
      <c r="EW37" s="14">
        <f t="shared" si="14"/>
        <v>1077861.6300000001</v>
      </c>
      <c r="EX37" s="14">
        <f t="shared" si="15"/>
        <v>-3094506.21</v>
      </c>
    </row>
    <row r="38" spans="1:154" x14ac:dyDescent="0.35">
      <c r="A38" s="194">
        <f t="shared" si="42"/>
        <v>2023</v>
      </c>
      <c r="B38" s="194">
        <v>9</v>
      </c>
      <c r="C38" s="195" t="s">
        <v>527</v>
      </c>
      <c r="D38" s="202">
        <v>5358721.5</v>
      </c>
      <c r="I38" s="94"/>
      <c r="J38" s="198">
        <f t="shared" si="17"/>
        <v>2023.09</v>
      </c>
      <c r="K38" s="194">
        <f t="shared" si="43"/>
        <v>2023</v>
      </c>
      <c r="L38" s="194">
        <v>9</v>
      </c>
      <c r="M38" s="195" t="s">
        <v>527</v>
      </c>
      <c r="N38" s="203">
        <f t="shared" si="39"/>
        <v>5358721.5</v>
      </c>
      <c r="O38" s="203">
        <f t="shared" si="34"/>
        <v>1250368.28</v>
      </c>
      <c r="P38" s="203">
        <f t="shared" si="35"/>
        <v>4108353.2199999997</v>
      </c>
      <c r="Q38" s="203">
        <f t="shared" si="36"/>
        <v>44656.01</v>
      </c>
      <c r="R38" s="194">
        <f t="shared" si="40"/>
        <v>2033</v>
      </c>
      <c r="S38" s="194">
        <f t="shared" si="41"/>
        <v>8</v>
      </c>
      <c r="T38" s="174">
        <f t="shared" si="37"/>
        <v>44656.01</v>
      </c>
      <c r="U38" s="174">
        <f t="shared" si="37"/>
        <v>44656.01</v>
      </c>
      <c r="V38" s="174">
        <f t="shared" si="37"/>
        <v>44656.01</v>
      </c>
      <c r="W38" s="174">
        <f t="shared" si="37"/>
        <v>44656.01</v>
      </c>
      <c r="X38" s="174">
        <f t="shared" si="37"/>
        <v>44656.01</v>
      </c>
      <c r="Y38" s="174">
        <f t="shared" si="37"/>
        <v>44656.01</v>
      </c>
      <c r="Z38" s="174">
        <f t="shared" si="37"/>
        <v>44656.01</v>
      </c>
      <c r="AA38" s="174">
        <f t="shared" si="37"/>
        <v>44656.01</v>
      </c>
      <c r="AB38" s="174">
        <f t="shared" si="37"/>
        <v>44656.01</v>
      </c>
      <c r="AC38" s="174">
        <f t="shared" si="37"/>
        <v>44656.01</v>
      </c>
      <c r="AD38" s="174">
        <f t="shared" si="37"/>
        <v>44656.01</v>
      </c>
      <c r="AE38" s="174">
        <f t="shared" si="37"/>
        <v>44656.01</v>
      </c>
      <c r="AF38" s="174">
        <f t="shared" si="38"/>
        <v>535872.12</v>
      </c>
      <c r="AG38" s="8">
        <f t="shared" si="20"/>
        <v>44656.01</v>
      </c>
      <c r="AH38" s="8">
        <f t="shared" si="21"/>
        <v>44656.01</v>
      </c>
      <c r="EW38" s="14">
        <f t="shared" si="14"/>
        <v>1339680.3</v>
      </c>
      <c r="EX38" s="14">
        <f t="shared" si="15"/>
        <v>-4019041.2</v>
      </c>
    </row>
    <row r="39" spans="1:154" x14ac:dyDescent="0.35">
      <c r="A39" s="194">
        <f t="shared" si="42"/>
        <v>2023</v>
      </c>
      <c r="B39" s="204">
        <v>10</v>
      </c>
      <c r="C39" s="205" t="s">
        <v>528</v>
      </c>
      <c r="D39" s="202">
        <v>4346737.95</v>
      </c>
      <c r="I39" s="94"/>
      <c r="J39" s="198">
        <f t="shared" si="17"/>
        <v>2023.1</v>
      </c>
      <c r="K39" s="194">
        <f t="shared" si="43"/>
        <v>2023</v>
      </c>
      <c r="L39" s="204">
        <v>10</v>
      </c>
      <c r="M39" s="205" t="s">
        <v>528</v>
      </c>
      <c r="N39" s="203">
        <f t="shared" si="39"/>
        <v>4346737.95</v>
      </c>
      <c r="O39" s="203">
        <f t="shared" si="34"/>
        <v>978016.14</v>
      </c>
      <c r="P39" s="203">
        <f t="shared" si="35"/>
        <v>3368721.81</v>
      </c>
      <c r="Q39" s="203">
        <f t="shared" si="36"/>
        <v>36222.82</v>
      </c>
      <c r="R39" s="194">
        <f t="shared" si="40"/>
        <v>2033</v>
      </c>
      <c r="S39" s="194">
        <f t="shared" si="41"/>
        <v>9</v>
      </c>
      <c r="T39" s="174">
        <f t="shared" si="37"/>
        <v>36222.82</v>
      </c>
      <c r="U39" s="174">
        <f t="shared" si="37"/>
        <v>36222.82</v>
      </c>
      <c r="V39" s="174">
        <f t="shared" si="37"/>
        <v>36222.82</v>
      </c>
      <c r="W39" s="174">
        <f t="shared" si="37"/>
        <v>36222.82</v>
      </c>
      <c r="X39" s="174">
        <f t="shared" si="37"/>
        <v>36222.82</v>
      </c>
      <c r="Y39" s="174">
        <f t="shared" si="37"/>
        <v>36222.82</v>
      </c>
      <c r="Z39" s="174">
        <f t="shared" si="37"/>
        <v>36222.82</v>
      </c>
      <c r="AA39" s="174">
        <f t="shared" si="37"/>
        <v>36222.82</v>
      </c>
      <c r="AB39" s="174">
        <f t="shared" si="37"/>
        <v>36222.82</v>
      </c>
      <c r="AC39" s="174">
        <f t="shared" si="37"/>
        <v>36222.82</v>
      </c>
      <c r="AD39" s="174">
        <f t="shared" si="37"/>
        <v>36222.82</v>
      </c>
      <c r="AE39" s="174">
        <f t="shared" si="37"/>
        <v>36222.82</v>
      </c>
      <c r="AF39" s="174">
        <f t="shared" si="38"/>
        <v>434673.84</v>
      </c>
      <c r="AG39" s="8">
        <f t="shared" si="20"/>
        <v>36222.82</v>
      </c>
      <c r="AH39" s="8">
        <f t="shared" si="21"/>
        <v>36222.82</v>
      </c>
      <c r="EW39" s="14">
        <f t="shared" si="14"/>
        <v>1050461.78</v>
      </c>
      <c r="EX39" s="14">
        <f t="shared" si="15"/>
        <v>-3296276.17</v>
      </c>
    </row>
    <row r="40" spans="1:154" x14ac:dyDescent="0.35">
      <c r="A40" s="194">
        <f t="shared" si="42"/>
        <v>2023</v>
      </c>
      <c r="B40" s="204">
        <v>11</v>
      </c>
      <c r="C40" s="205" t="s">
        <v>529</v>
      </c>
      <c r="D40" s="202">
        <v>3483846.64</v>
      </c>
      <c r="I40" s="94"/>
      <c r="J40" s="198">
        <f t="shared" si="17"/>
        <v>2023.11</v>
      </c>
      <c r="K40" s="194">
        <f t="shared" si="43"/>
        <v>2023</v>
      </c>
      <c r="L40" s="204">
        <v>11</v>
      </c>
      <c r="M40" s="205" t="s">
        <v>529</v>
      </c>
      <c r="N40" s="203">
        <f t="shared" si="39"/>
        <v>3483846.64</v>
      </c>
      <c r="O40" s="203">
        <f t="shared" si="34"/>
        <v>754833.56</v>
      </c>
      <c r="P40" s="203">
        <f t="shared" si="35"/>
        <v>2729013.08</v>
      </c>
      <c r="Q40" s="203">
        <f t="shared" si="36"/>
        <v>29032.06</v>
      </c>
      <c r="R40" s="194">
        <f t="shared" si="40"/>
        <v>2033</v>
      </c>
      <c r="S40" s="194">
        <f t="shared" si="41"/>
        <v>10</v>
      </c>
      <c r="T40" s="174">
        <f t="shared" si="37"/>
        <v>29032.06</v>
      </c>
      <c r="U40" s="174">
        <f t="shared" si="37"/>
        <v>29032.06</v>
      </c>
      <c r="V40" s="174">
        <f t="shared" si="37"/>
        <v>29032.06</v>
      </c>
      <c r="W40" s="174">
        <f t="shared" si="37"/>
        <v>29032.06</v>
      </c>
      <c r="X40" s="174">
        <f t="shared" si="37"/>
        <v>29032.06</v>
      </c>
      <c r="Y40" s="174">
        <f t="shared" si="37"/>
        <v>29032.06</v>
      </c>
      <c r="Z40" s="174">
        <f t="shared" si="37"/>
        <v>29032.06</v>
      </c>
      <c r="AA40" s="174">
        <f t="shared" si="37"/>
        <v>29032.06</v>
      </c>
      <c r="AB40" s="174">
        <f t="shared" si="37"/>
        <v>29032.06</v>
      </c>
      <c r="AC40" s="174">
        <f t="shared" si="37"/>
        <v>29032.06</v>
      </c>
      <c r="AD40" s="174">
        <f t="shared" si="37"/>
        <v>29032.06</v>
      </c>
      <c r="AE40" s="174">
        <f t="shared" si="37"/>
        <v>29032.06</v>
      </c>
      <c r="AF40" s="174">
        <f t="shared" si="38"/>
        <v>348384.72000000003</v>
      </c>
      <c r="AG40" s="8">
        <f t="shared" si="20"/>
        <v>29032.06</v>
      </c>
      <c r="AH40" s="8">
        <f t="shared" si="21"/>
        <v>29032.06</v>
      </c>
      <c r="EW40" s="14">
        <f t="shared" si="14"/>
        <v>812897.68</v>
      </c>
      <c r="EX40" s="14">
        <f t="shared" si="15"/>
        <v>-2670948.96</v>
      </c>
    </row>
    <row r="41" spans="1:154" x14ac:dyDescent="0.35">
      <c r="A41" s="194">
        <f t="shared" si="42"/>
        <v>2023</v>
      </c>
      <c r="B41" s="204">
        <v>12</v>
      </c>
      <c r="C41" s="205" t="s">
        <v>523</v>
      </c>
      <c r="D41" s="207">
        <v>3885415.24</v>
      </c>
      <c r="I41" s="94"/>
      <c r="J41" s="198">
        <f t="shared" si="17"/>
        <v>2023.12</v>
      </c>
      <c r="K41" s="194">
        <f t="shared" si="43"/>
        <v>2023</v>
      </c>
      <c r="L41" s="204">
        <v>12</v>
      </c>
      <c r="M41" s="205" t="s">
        <v>523</v>
      </c>
      <c r="N41" s="203">
        <f t="shared" si="39"/>
        <v>3885415.24</v>
      </c>
      <c r="O41" s="203">
        <f t="shared" si="34"/>
        <v>809461.5</v>
      </c>
      <c r="P41" s="203">
        <f t="shared" si="35"/>
        <v>3075953.74</v>
      </c>
      <c r="Q41" s="203">
        <f t="shared" si="36"/>
        <v>32378.46</v>
      </c>
      <c r="R41" s="194">
        <f t="shared" si="40"/>
        <v>2033</v>
      </c>
      <c r="S41" s="194">
        <f t="shared" si="41"/>
        <v>11</v>
      </c>
      <c r="T41" s="174">
        <f t="shared" si="37"/>
        <v>32378.46</v>
      </c>
      <c r="U41" s="174">
        <f t="shared" si="37"/>
        <v>32378.46</v>
      </c>
      <c r="V41" s="174">
        <f t="shared" si="37"/>
        <v>32378.46</v>
      </c>
      <c r="W41" s="174">
        <f t="shared" si="37"/>
        <v>32378.46</v>
      </c>
      <c r="X41" s="174">
        <f t="shared" si="37"/>
        <v>32378.46</v>
      </c>
      <c r="Y41" s="174">
        <f t="shared" si="37"/>
        <v>32378.46</v>
      </c>
      <c r="Z41" s="174">
        <f t="shared" si="37"/>
        <v>32378.46</v>
      </c>
      <c r="AA41" s="174">
        <f t="shared" si="37"/>
        <v>32378.46</v>
      </c>
      <c r="AB41" s="174">
        <f t="shared" si="37"/>
        <v>32378.46</v>
      </c>
      <c r="AC41" s="174">
        <f t="shared" si="37"/>
        <v>32378.46</v>
      </c>
      <c r="AD41" s="174">
        <f t="shared" si="37"/>
        <v>32378.46</v>
      </c>
      <c r="AE41" s="174">
        <f t="shared" si="37"/>
        <v>32378.46</v>
      </c>
      <c r="AF41" s="174">
        <f t="shared" si="38"/>
        <v>388541.52</v>
      </c>
      <c r="AG41" s="8">
        <f t="shared" si="20"/>
        <v>32378.46</v>
      </c>
      <c r="AH41" s="8">
        <f t="shared" si="21"/>
        <v>32378.46</v>
      </c>
      <c r="EW41" s="14">
        <f t="shared" si="14"/>
        <v>874218.42</v>
      </c>
      <c r="EX41" s="14">
        <f t="shared" si="15"/>
        <v>-3011196.8200000003</v>
      </c>
    </row>
    <row r="42" spans="1:154" x14ac:dyDescent="0.35">
      <c r="A42" s="208">
        <f>+A41</f>
        <v>2023</v>
      </c>
      <c r="B42" s="208"/>
      <c r="C42" s="209" t="s">
        <v>116</v>
      </c>
      <c r="D42" s="215">
        <f>SUM(D30:D41)</f>
        <v>48364572.789999999</v>
      </c>
      <c r="H42" s="13"/>
      <c r="I42" s="94"/>
      <c r="J42" s="211"/>
      <c r="K42" s="208">
        <f>+K41</f>
        <v>2023</v>
      </c>
      <c r="L42" s="208"/>
      <c r="M42" s="209" t="s">
        <v>116</v>
      </c>
      <c r="N42" s="215">
        <f>SUM(N30:N41)</f>
        <v>48364572.789999999</v>
      </c>
      <c r="O42" s="210">
        <f>SUM(O30:O41)</f>
        <v>12279840.900000002</v>
      </c>
      <c r="P42" s="210">
        <f>SUM(P30:P41)</f>
        <v>36084731.890000001</v>
      </c>
      <c r="Q42" s="215">
        <f>SUM(Q30:Q41)</f>
        <v>403038.12000000005</v>
      </c>
      <c r="R42" s="215"/>
      <c r="S42" s="210"/>
      <c r="T42" s="210">
        <f t="shared" ref="T42:AF42" si="44">SUM(T30:T41)</f>
        <v>403038.12000000005</v>
      </c>
      <c r="U42" s="210">
        <f t="shared" si="44"/>
        <v>403038.12000000005</v>
      </c>
      <c r="V42" s="210">
        <f t="shared" si="44"/>
        <v>403038.12000000005</v>
      </c>
      <c r="W42" s="210">
        <f t="shared" si="44"/>
        <v>403038.12000000005</v>
      </c>
      <c r="X42" s="210">
        <f t="shared" si="44"/>
        <v>403038.12000000005</v>
      </c>
      <c r="Y42" s="210">
        <f t="shared" si="44"/>
        <v>403038.12000000005</v>
      </c>
      <c r="Z42" s="210">
        <f t="shared" si="44"/>
        <v>403038.12000000005</v>
      </c>
      <c r="AA42" s="210">
        <f t="shared" si="44"/>
        <v>403038.12000000005</v>
      </c>
      <c r="AB42" s="210">
        <f t="shared" si="44"/>
        <v>403038.12000000005</v>
      </c>
      <c r="AC42" s="210">
        <f t="shared" si="44"/>
        <v>403038.12000000005</v>
      </c>
      <c r="AD42" s="210">
        <f t="shared" si="44"/>
        <v>403038.12000000005</v>
      </c>
      <c r="AE42" s="210">
        <f t="shared" si="44"/>
        <v>403038.12000000005</v>
      </c>
      <c r="AF42" s="210">
        <f t="shared" si="44"/>
        <v>4836457.4399999995</v>
      </c>
      <c r="AG42" s="8">
        <f t="shared" si="20"/>
        <v>403038.12000000005</v>
      </c>
      <c r="AH42" s="8">
        <f t="shared" si="21"/>
        <v>403038.12000000005</v>
      </c>
      <c r="EW42" s="14">
        <f t="shared" si="14"/>
        <v>13085917.140000002</v>
      </c>
      <c r="EX42" s="14">
        <f t="shared" si="15"/>
        <v>-35278655.649999999</v>
      </c>
    </row>
    <row r="43" spans="1:154" x14ac:dyDescent="0.35">
      <c r="A43" s="194">
        <f>+A42+1</f>
        <v>2024</v>
      </c>
      <c r="B43" s="194">
        <v>1</v>
      </c>
      <c r="C43" s="195" t="s">
        <v>524</v>
      </c>
      <c r="D43" s="196">
        <v>5348371.7700000023</v>
      </c>
      <c r="H43" s="13"/>
      <c r="I43" s="94"/>
      <c r="J43" s="198">
        <f t="shared" si="17"/>
        <v>2024.01</v>
      </c>
      <c r="K43" s="194">
        <f>+K42+1</f>
        <v>2024</v>
      </c>
      <c r="L43" s="194">
        <v>1</v>
      </c>
      <c r="M43" s="195" t="s">
        <v>524</v>
      </c>
      <c r="N43" s="199">
        <f>IF(I$3-J43&gt;=0,D43,0)</f>
        <v>5348371.7700000023</v>
      </c>
      <c r="O43" s="200">
        <f t="shared" ref="O43:O54" si="45">IF((H$3-K43)*12+(H$2-L43+1)&gt;=$H$6,N43,IF((H$3-K43)*12+(H$2-L43+1)&lt;0,0,((H$3-K43)*12+(H$2-L43+1))*Q43))</f>
        <v>1069674.24</v>
      </c>
      <c r="P43" s="201">
        <f t="shared" ref="P43:P54" si="46">+N43-O43</f>
        <v>4278697.5300000021</v>
      </c>
      <c r="Q43" s="201">
        <f t="shared" ref="Q43:Q54" si="47">ROUND(N43/H$6,2)</f>
        <v>44569.760000000002</v>
      </c>
      <c r="R43" s="194">
        <f>+R41</f>
        <v>2033</v>
      </c>
      <c r="S43" s="194">
        <f>+S41+1</f>
        <v>12</v>
      </c>
      <c r="T43" s="200">
        <f t="shared" ref="T43:AE58" si="48">IF($H$3=$K43,IF(T$8&lt;$L43,0,$Q43))+IF($H$3&lt;$R43,$Q43,0)+IF($H$3=$R43,IF(T$8&lt;$S43,$Q43,0))+IF($H$3=$R43,IF(T$8=$S43,$Q43,IF($H$3&gt;$R43,0)))+IF($O43=0,-$Q43,IF($H$3&gt;$K43,0,-$Q43))</f>
        <v>44569.760000000002</v>
      </c>
      <c r="U43" s="200">
        <f t="shared" si="48"/>
        <v>44569.760000000002</v>
      </c>
      <c r="V43" s="200">
        <f t="shared" si="48"/>
        <v>44569.760000000002</v>
      </c>
      <c r="W43" s="200">
        <f t="shared" si="48"/>
        <v>44569.760000000002</v>
      </c>
      <c r="X43" s="200">
        <f t="shared" si="48"/>
        <v>44569.760000000002</v>
      </c>
      <c r="Y43" s="200">
        <f t="shared" si="48"/>
        <v>44569.760000000002</v>
      </c>
      <c r="Z43" s="200">
        <f t="shared" si="48"/>
        <v>44569.760000000002</v>
      </c>
      <c r="AA43" s="200">
        <f t="shared" si="48"/>
        <v>44569.760000000002</v>
      </c>
      <c r="AB43" s="200">
        <f t="shared" si="48"/>
        <v>44569.760000000002</v>
      </c>
      <c r="AC43" s="200">
        <f t="shared" si="48"/>
        <v>44569.760000000002</v>
      </c>
      <c r="AD43" s="200">
        <f t="shared" si="48"/>
        <v>44569.760000000002</v>
      </c>
      <c r="AE43" s="200">
        <f t="shared" si="48"/>
        <v>44569.760000000002</v>
      </c>
      <c r="AF43" s="200">
        <f t="shared" ref="AF43:AF54" si="49">SUM(T43:AE43)</f>
        <v>534837.12</v>
      </c>
      <c r="AG43" s="8">
        <f t="shared" si="20"/>
        <v>44569.760000000002</v>
      </c>
      <c r="AH43" s="8">
        <f t="shared" si="21"/>
        <v>44569.760000000002</v>
      </c>
      <c r="EW43" s="14">
        <f t="shared" si="14"/>
        <v>1158813.76</v>
      </c>
      <c r="EX43" s="14">
        <f t="shared" si="15"/>
        <v>-4189558.0100000026</v>
      </c>
    </row>
    <row r="44" spans="1:154" x14ac:dyDescent="0.35">
      <c r="A44" s="194">
        <f>+A43</f>
        <v>2024</v>
      </c>
      <c r="B44" s="194">
        <v>2</v>
      </c>
      <c r="C44" s="195" t="s">
        <v>525</v>
      </c>
      <c r="D44" s="212">
        <v>3911052.7600000007</v>
      </c>
      <c r="H44" s="13"/>
      <c r="I44" s="94"/>
      <c r="J44" s="198">
        <f t="shared" si="17"/>
        <v>2024.02</v>
      </c>
      <c r="K44" s="194">
        <f>+K43</f>
        <v>2024</v>
      </c>
      <c r="L44" s="194">
        <v>2</v>
      </c>
      <c r="M44" s="195" t="s">
        <v>525</v>
      </c>
      <c r="N44" s="203">
        <f t="shared" ref="N44:N54" si="50">IF(I$3-J44&gt;=0,D44,0)</f>
        <v>3911052.7600000007</v>
      </c>
      <c r="O44" s="203">
        <f t="shared" si="45"/>
        <v>749618.53</v>
      </c>
      <c r="P44" s="203">
        <f t="shared" si="46"/>
        <v>3161434.2300000004</v>
      </c>
      <c r="Q44" s="203">
        <f t="shared" si="47"/>
        <v>32592.11</v>
      </c>
      <c r="R44" s="194">
        <f t="shared" ref="R44:R54" si="51">+K44+$H$5</f>
        <v>2034</v>
      </c>
      <c r="S44" s="194">
        <f t="shared" ref="S44:S54" si="52">+L44-1</f>
        <v>1</v>
      </c>
      <c r="T44" s="174">
        <f t="shared" si="48"/>
        <v>32592.11</v>
      </c>
      <c r="U44" s="174">
        <f t="shared" si="48"/>
        <v>32592.11</v>
      </c>
      <c r="V44" s="174">
        <f t="shared" si="48"/>
        <v>32592.11</v>
      </c>
      <c r="W44" s="174">
        <f t="shared" si="48"/>
        <v>32592.11</v>
      </c>
      <c r="X44" s="174">
        <f t="shared" si="48"/>
        <v>32592.11</v>
      </c>
      <c r="Y44" s="174">
        <f t="shared" si="48"/>
        <v>32592.11</v>
      </c>
      <c r="Z44" s="174">
        <f t="shared" si="48"/>
        <v>32592.11</v>
      </c>
      <c r="AA44" s="174">
        <f t="shared" si="48"/>
        <v>32592.11</v>
      </c>
      <c r="AB44" s="174">
        <f t="shared" si="48"/>
        <v>32592.11</v>
      </c>
      <c r="AC44" s="174">
        <f t="shared" si="48"/>
        <v>32592.11</v>
      </c>
      <c r="AD44" s="174">
        <f t="shared" si="48"/>
        <v>32592.11</v>
      </c>
      <c r="AE44" s="174">
        <f t="shared" si="48"/>
        <v>32592.11</v>
      </c>
      <c r="AF44" s="174">
        <f t="shared" si="49"/>
        <v>391105.31999999989</v>
      </c>
      <c r="AG44" s="8">
        <f t="shared" si="20"/>
        <v>32592.11</v>
      </c>
      <c r="AH44" s="8">
        <f t="shared" si="21"/>
        <v>32592.11</v>
      </c>
      <c r="EW44" s="14">
        <f t="shared" si="14"/>
        <v>814802.75</v>
      </c>
      <c r="EX44" s="14">
        <f t="shared" si="15"/>
        <v>-3096250.0100000007</v>
      </c>
    </row>
    <row r="45" spans="1:154" x14ac:dyDescent="0.35">
      <c r="A45" s="194">
        <f t="shared" ref="A45:A54" si="53">+A44</f>
        <v>2024</v>
      </c>
      <c r="B45" s="194">
        <v>3</v>
      </c>
      <c r="C45" s="195" t="s">
        <v>302</v>
      </c>
      <c r="D45" s="212">
        <v>9497608.7700000033</v>
      </c>
      <c r="H45" s="13"/>
      <c r="I45" s="94"/>
      <c r="J45" s="198">
        <f t="shared" si="17"/>
        <v>2024.03</v>
      </c>
      <c r="K45" s="194">
        <f t="shared" ref="K45:K54" si="54">+K44</f>
        <v>2024</v>
      </c>
      <c r="L45" s="194">
        <v>3</v>
      </c>
      <c r="M45" s="195" t="s">
        <v>302</v>
      </c>
      <c r="N45" s="203">
        <f t="shared" si="50"/>
        <v>9497608.7700000033</v>
      </c>
      <c r="O45" s="203">
        <f t="shared" si="45"/>
        <v>1741228.28</v>
      </c>
      <c r="P45" s="203">
        <f t="shared" si="46"/>
        <v>7756380.490000003</v>
      </c>
      <c r="Q45" s="203">
        <f t="shared" si="47"/>
        <v>79146.740000000005</v>
      </c>
      <c r="R45" s="194">
        <f t="shared" si="51"/>
        <v>2034</v>
      </c>
      <c r="S45" s="194">
        <f t="shared" si="52"/>
        <v>2</v>
      </c>
      <c r="T45" s="174">
        <f t="shared" si="48"/>
        <v>79146.740000000005</v>
      </c>
      <c r="U45" s="174">
        <f t="shared" si="48"/>
        <v>79146.740000000005</v>
      </c>
      <c r="V45" s="174">
        <f t="shared" si="48"/>
        <v>79146.740000000005</v>
      </c>
      <c r="W45" s="174">
        <f t="shared" si="48"/>
        <v>79146.740000000005</v>
      </c>
      <c r="X45" s="174">
        <f t="shared" si="48"/>
        <v>79146.740000000005</v>
      </c>
      <c r="Y45" s="174">
        <f t="shared" si="48"/>
        <v>79146.740000000005</v>
      </c>
      <c r="Z45" s="174">
        <f t="shared" si="48"/>
        <v>79146.740000000005</v>
      </c>
      <c r="AA45" s="174">
        <f t="shared" si="48"/>
        <v>79146.740000000005</v>
      </c>
      <c r="AB45" s="174">
        <f t="shared" si="48"/>
        <v>79146.740000000005</v>
      </c>
      <c r="AC45" s="174">
        <f t="shared" si="48"/>
        <v>79146.740000000005</v>
      </c>
      <c r="AD45" s="174">
        <f t="shared" si="48"/>
        <v>79146.740000000005</v>
      </c>
      <c r="AE45" s="174">
        <f t="shared" si="48"/>
        <v>79146.740000000005</v>
      </c>
      <c r="AF45" s="174">
        <f t="shared" si="49"/>
        <v>949760.88</v>
      </c>
      <c r="AG45" s="8">
        <f t="shared" si="20"/>
        <v>79146.740000000005</v>
      </c>
      <c r="AH45" s="8">
        <f t="shared" si="21"/>
        <v>79146.740000000005</v>
      </c>
      <c r="EW45" s="14">
        <f t="shared" si="14"/>
        <v>1899521.76</v>
      </c>
      <c r="EX45" s="14">
        <f t="shared" si="15"/>
        <v>-7598087.0100000035</v>
      </c>
    </row>
    <row r="46" spans="1:154" x14ac:dyDescent="0.35">
      <c r="A46" s="194">
        <f t="shared" si="53"/>
        <v>2024</v>
      </c>
      <c r="B46" s="194">
        <v>4</v>
      </c>
      <c r="C46" s="195" t="s">
        <v>303</v>
      </c>
      <c r="D46" s="212">
        <v>7471048.580000001</v>
      </c>
      <c r="H46" s="13"/>
      <c r="I46" s="94"/>
      <c r="J46" s="198">
        <f t="shared" si="17"/>
        <v>2024.04</v>
      </c>
      <c r="K46" s="194">
        <f t="shared" si="54"/>
        <v>2024</v>
      </c>
      <c r="L46" s="194">
        <v>4</v>
      </c>
      <c r="M46" s="195" t="s">
        <v>303</v>
      </c>
      <c r="N46" s="203">
        <f t="shared" si="50"/>
        <v>7471048.580000001</v>
      </c>
      <c r="O46" s="203">
        <f t="shared" si="45"/>
        <v>1307433.54</v>
      </c>
      <c r="P46" s="203">
        <f t="shared" si="46"/>
        <v>6163615.040000001</v>
      </c>
      <c r="Q46" s="203">
        <f t="shared" si="47"/>
        <v>62258.74</v>
      </c>
      <c r="R46" s="194">
        <f t="shared" si="51"/>
        <v>2034</v>
      </c>
      <c r="S46" s="194">
        <f t="shared" si="52"/>
        <v>3</v>
      </c>
      <c r="T46" s="174">
        <f t="shared" si="48"/>
        <v>62258.74</v>
      </c>
      <c r="U46" s="174">
        <f t="shared" si="48"/>
        <v>62258.74</v>
      </c>
      <c r="V46" s="174">
        <f t="shared" si="48"/>
        <v>62258.74</v>
      </c>
      <c r="W46" s="174">
        <f t="shared" si="48"/>
        <v>62258.74</v>
      </c>
      <c r="X46" s="174">
        <f t="shared" si="48"/>
        <v>62258.74</v>
      </c>
      <c r="Y46" s="174">
        <f t="shared" si="48"/>
        <v>62258.74</v>
      </c>
      <c r="Z46" s="174">
        <f t="shared" si="48"/>
        <v>62258.74</v>
      </c>
      <c r="AA46" s="174">
        <f t="shared" si="48"/>
        <v>62258.74</v>
      </c>
      <c r="AB46" s="174">
        <f t="shared" si="48"/>
        <v>62258.74</v>
      </c>
      <c r="AC46" s="174">
        <f t="shared" si="48"/>
        <v>62258.74</v>
      </c>
      <c r="AD46" s="174">
        <f t="shared" si="48"/>
        <v>62258.74</v>
      </c>
      <c r="AE46" s="174">
        <f t="shared" si="48"/>
        <v>62258.74</v>
      </c>
      <c r="AF46" s="174">
        <f t="shared" si="49"/>
        <v>747104.88</v>
      </c>
      <c r="AG46" s="8">
        <f t="shared" si="20"/>
        <v>62258.74</v>
      </c>
      <c r="AH46" s="8">
        <f t="shared" si="21"/>
        <v>62258.74</v>
      </c>
      <c r="EW46" s="14">
        <f t="shared" si="14"/>
        <v>1431951.02</v>
      </c>
      <c r="EX46" s="14">
        <f t="shared" si="15"/>
        <v>-6039097.5600000005</v>
      </c>
    </row>
    <row r="47" spans="1:154" x14ac:dyDescent="0.35">
      <c r="A47" s="194">
        <f t="shared" si="53"/>
        <v>2024</v>
      </c>
      <c r="B47" s="194">
        <v>5</v>
      </c>
      <c r="C47" s="195" t="s">
        <v>166</v>
      </c>
      <c r="D47" s="212">
        <v>4353079.5799999991</v>
      </c>
      <c r="H47" s="13"/>
      <c r="I47" s="94"/>
      <c r="J47" s="198">
        <f t="shared" si="17"/>
        <v>2024.05</v>
      </c>
      <c r="K47" s="194">
        <f t="shared" si="54"/>
        <v>2024</v>
      </c>
      <c r="L47" s="194">
        <v>5</v>
      </c>
      <c r="M47" s="195" t="s">
        <v>166</v>
      </c>
      <c r="N47" s="203">
        <f t="shared" si="50"/>
        <v>4353079.5799999991</v>
      </c>
      <c r="O47" s="203">
        <f t="shared" si="45"/>
        <v>725513.20000000007</v>
      </c>
      <c r="P47" s="203">
        <f t="shared" si="46"/>
        <v>3627566.379999999</v>
      </c>
      <c r="Q47" s="203">
        <f t="shared" si="47"/>
        <v>36275.660000000003</v>
      </c>
      <c r="R47" s="194">
        <f t="shared" si="51"/>
        <v>2034</v>
      </c>
      <c r="S47" s="194">
        <f t="shared" si="52"/>
        <v>4</v>
      </c>
      <c r="T47" s="174">
        <f t="shared" si="48"/>
        <v>36275.660000000003</v>
      </c>
      <c r="U47" s="174">
        <f t="shared" si="48"/>
        <v>36275.660000000003</v>
      </c>
      <c r="V47" s="174">
        <f t="shared" si="48"/>
        <v>36275.660000000003</v>
      </c>
      <c r="W47" s="174">
        <f t="shared" si="48"/>
        <v>36275.660000000003</v>
      </c>
      <c r="X47" s="174">
        <f t="shared" si="48"/>
        <v>36275.660000000003</v>
      </c>
      <c r="Y47" s="174">
        <f t="shared" si="48"/>
        <v>36275.660000000003</v>
      </c>
      <c r="Z47" s="174">
        <f t="shared" si="48"/>
        <v>36275.660000000003</v>
      </c>
      <c r="AA47" s="174">
        <f t="shared" si="48"/>
        <v>36275.660000000003</v>
      </c>
      <c r="AB47" s="174">
        <f t="shared" si="48"/>
        <v>36275.660000000003</v>
      </c>
      <c r="AC47" s="174">
        <f t="shared" si="48"/>
        <v>36275.660000000003</v>
      </c>
      <c r="AD47" s="174">
        <f t="shared" si="48"/>
        <v>36275.660000000003</v>
      </c>
      <c r="AE47" s="174">
        <f t="shared" si="48"/>
        <v>36275.660000000003</v>
      </c>
      <c r="AF47" s="174">
        <f t="shared" si="49"/>
        <v>435307.92000000016</v>
      </c>
      <c r="AG47" s="8">
        <f t="shared" si="20"/>
        <v>36275.660000000003</v>
      </c>
      <c r="AH47" s="8">
        <f t="shared" si="21"/>
        <v>36275.660000000003</v>
      </c>
      <c r="EW47" s="14">
        <f t="shared" si="14"/>
        <v>798064.52</v>
      </c>
      <c r="EX47" s="14">
        <f t="shared" si="15"/>
        <v>-3555015.0599999991</v>
      </c>
    </row>
    <row r="48" spans="1:154" x14ac:dyDescent="0.35">
      <c r="A48" s="194">
        <f t="shared" si="53"/>
        <v>2024</v>
      </c>
      <c r="B48" s="194">
        <v>6</v>
      </c>
      <c r="C48" s="195" t="s">
        <v>304</v>
      </c>
      <c r="D48" s="202">
        <v>17170886.310000002</v>
      </c>
      <c r="H48" s="13"/>
      <c r="I48" s="94"/>
      <c r="J48" s="198">
        <f t="shared" si="17"/>
        <v>2024.06</v>
      </c>
      <c r="K48" s="194">
        <f t="shared" si="54"/>
        <v>2024</v>
      </c>
      <c r="L48" s="194">
        <v>6</v>
      </c>
      <c r="M48" s="195" t="s">
        <v>304</v>
      </c>
      <c r="N48" s="203">
        <f t="shared" si="50"/>
        <v>17170886.310000002</v>
      </c>
      <c r="O48" s="203">
        <f t="shared" si="45"/>
        <v>2718723.68</v>
      </c>
      <c r="P48" s="203">
        <f t="shared" si="46"/>
        <v>14452162.630000003</v>
      </c>
      <c r="Q48" s="203">
        <f t="shared" si="47"/>
        <v>143090.72</v>
      </c>
      <c r="R48" s="194">
        <f t="shared" si="51"/>
        <v>2034</v>
      </c>
      <c r="S48" s="194">
        <f t="shared" si="52"/>
        <v>5</v>
      </c>
      <c r="T48" s="174">
        <f t="shared" si="48"/>
        <v>143090.72</v>
      </c>
      <c r="U48" s="174">
        <f t="shared" si="48"/>
        <v>143090.72</v>
      </c>
      <c r="V48" s="174">
        <f t="shared" si="48"/>
        <v>143090.72</v>
      </c>
      <c r="W48" s="174">
        <f t="shared" si="48"/>
        <v>143090.72</v>
      </c>
      <c r="X48" s="174">
        <f t="shared" si="48"/>
        <v>143090.72</v>
      </c>
      <c r="Y48" s="174">
        <f t="shared" si="48"/>
        <v>143090.72</v>
      </c>
      <c r="Z48" s="174">
        <f t="shared" si="48"/>
        <v>143090.72</v>
      </c>
      <c r="AA48" s="174">
        <f t="shared" si="48"/>
        <v>143090.72</v>
      </c>
      <c r="AB48" s="174">
        <f t="shared" si="48"/>
        <v>143090.72</v>
      </c>
      <c r="AC48" s="174">
        <f t="shared" si="48"/>
        <v>143090.72</v>
      </c>
      <c r="AD48" s="174">
        <f t="shared" si="48"/>
        <v>143090.72</v>
      </c>
      <c r="AE48" s="174">
        <f t="shared" si="48"/>
        <v>143090.72</v>
      </c>
      <c r="AF48" s="174">
        <f t="shared" si="49"/>
        <v>1717088.64</v>
      </c>
      <c r="AG48" s="8">
        <f t="shared" si="20"/>
        <v>143090.72</v>
      </c>
      <c r="AH48" s="8">
        <f t="shared" si="21"/>
        <v>143090.72</v>
      </c>
      <c r="EW48" s="14">
        <f t="shared" si="14"/>
        <v>3004905.12</v>
      </c>
      <c r="EX48" s="14">
        <f t="shared" si="15"/>
        <v>-14165981.190000001</v>
      </c>
    </row>
    <row r="49" spans="1:154" x14ac:dyDescent="0.35">
      <c r="A49" s="194">
        <f t="shared" si="53"/>
        <v>2024</v>
      </c>
      <c r="B49" s="194">
        <v>7</v>
      </c>
      <c r="C49" s="195" t="s">
        <v>343</v>
      </c>
      <c r="D49" s="202">
        <v>8183176.7199999979</v>
      </c>
      <c r="H49" s="13"/>
      <c r="I49" s="94"/>
      <c r="J49" s="198">
        <f t="shared" si="17"/>
        <v>2024.07</v>
      </c>
      <c r="K49" s="194">
        <f t="shared" si="54"/>
        <v>2024</v>
      </c>
      <c r="L49" s="194">
        <v>7</v>
      </c>
      <c r="M49" s="195" t="s">
        <v>343</v>
      </c>
      <c r="N49" s="203">
        <f t="shared" si="50"/>
        <v>8183176.7199999979</v>
      </c>
      <c r="O49" s="203">
        <f t="shared" si="45"/>
        <v>1227476.52</v>
      </c>
      <c r="P49" s="203">
        <f t="shared" si="46"/>
        <v>6955700.1999999974</v>
      </c>
      <c r="Q49" s="203">
        <f t="shared" si="47"/>
        <v>68193.14</v>
      </c>
      <c r="R49" s="194">
        <f t="shared" si="51"/>
        <v>2034</v>
      </c>
      <c r="S49" s="194">
        <f t="shared" si="52"/>
        <v>6</v>
      </c>
      <c r="T49" s="174">
        <f t="shared" si="48"/>
        <v>68193.14</v>
      </c>
      <c r="U49" s="174">
        <f t="shared" si="48"/>
        <v>68193.14</v>
      </c>
      <c r="V49" s="174">
        <f t="shared" si="48"/>
        <v>68193.14</v>
      </c>
      <c r="W49" s="174">
        <f t="shared" si="48"/>
        <v>68193.14</v>
      </c>
      <c r="X49" s="174">
        <f t="shared" si="48"/>
        <v>68193.14</v>
      </c>
      <c r="Y49" s="174">
        <f t="shared" si="48"/>
        <v>68193.14</v>
      </c>
      <c r="Z49" s="174">
        <f t="shared" si="48"/>
        <v>68193.14</v>
      </c>
      <c r="AA49" s="174">
        <f t="shared" si="48"/>
        <v>68193.14</v>
      </c>
      <c r="AB49" s="174">
        <f t="shared" si="48"/>
        <v>68193.14</v>
      </c>
      <c r="AC49" s="174">
        <f t="shared" si="48"/>
        <v>68193.14</v>
      </c>
      <c r="AD49" s="174">
        <f t="shared" si="48"/>
        <v>68193.14</v>
      </c>
      <c r="AE49" s="174">
        <f t="shared" si="48"/>
        <v>68193.14</v>
      </c>
      <c r="AF49" s="174">
        <f t="shared" si="49"/>
        <v>818317.68</v>
      </c>
      <c r="AG49" s="8">
        <f t="shared" si="20"/>
        <v>68193.14</v>
      </c>
      <c r="AH49" s="8">
        <f t="shared" si="21"/>
        <v>68193.14</v>
      </c>
      <c r="EW49" s="14">
        <f t="shared" si="14"/>
        <v>1363862.8</v>
      </c>
      <c r="EX49" s="14">
        <f t="shared" si="15"/>
        <v>-6819313.9199999981</v>
      </c>
    </row>
    <row r="50" spans="1:154" x14ac:dyDescent="0.35">
      <c r="A50" s="194">
        <f t="shared" si="53"/>
        <v>2024</v>
      </c>
      <c r="B50" s="194">
        <v>8</v>
      </c>
      <c r="C50" s="195" t="s">
        <v>526</v>
      </c>
      <c r="D50" s="202">
        <v>12950408.379999999</v>
      </c>
      <c r="H50" s="13"/>
      <c r="I50" s="94"/>
      <c r="J50" s="198">
        <f t="shared" si="17"/>
        <v>2024.08</v>
      </c>
      <c r="K50" s="194">
        <f t="shared" si="54"/>
        <v>2024</v>
      </c>
      <c r="L50" s="194">
        <v>8</v>
      </c>
      <c r="M50" s="195" t="s">
        <v>526</v>
      </c>
      <c r="N50" s="203">
        <f t="shared" si="50"/>
        <v>12950408.379999999</v>
      </c>
      <c r="O50" s="203">
        <f t="shared" si="45"/>
        <v>1834641.1900000002</v>
      </c>
      <c r="P50" s="203">
        <f t="shared" si="46"/>
        <v>11115767.189999999</v>
      </c>
      <c r="Q50" s="203">
        <f t="shared" si="47"/>
        <v>107920.07</v>
      </c>
      <c r="R50" s="194">
        <f t="shared" si="51"/>
        <v>2034</v>
      </c>
      <c r="S50" s="194">
        <f t="shared" si="52"/>
        <v>7</v>
      </c>
      <c r="T50" s="174">
        <f t="shared" si="48"/>
        <v>107920.07</v>
      </c>
      <c r="U50" s="174">
        <f t="shared" si="48"/>
        <v>107920.07</v>
      </c>
      <c r="V50" s="174">
        <f t="shared" si="48"/>
        <v>107920.07</v>
      </c>
      <c r="W50" s="174">
        <f t="shared" si="48"/>
        <v>107920.07</v>
      </c>
      <c r="X50" s="174">
        <f t="shared" si="48"/>
        <v>107920.07</v>
      </c>
      <c r="Y50" s="174">
        <f t="shared" si="48"/>
        <v>107920.07</v>
      </c>
      <c r="Z50" s="174">
        <f t="shared" si="48"/>
        <v>107920.07</v>
      </c>
      <c r="AA50" s="174">
        <f t="shared" si="48"/>
        <v>107920.07</v>
      </c>
      <c r="AB50" s="174">
        <f t="shared" si="48"/>
        <v>107920.07</v>
      </c>
      <c r="AC50" s="174">
        <f t="shared" si="48"/>
        <v>107920.07</v>
      </c>
      <c r="AD50" s="174">
        <f t="shared" si="48"/>
        <v>107920.07</v>
      </c>
      <c r="AE50" s="174">
        <f t="shared" si="48"/>
        <v>107920.07</v>
      </c>
      <c r="AF50" s="174">
        <f t="shared" si="49"/>
        <v>1295040.8400000005</v>
      </c>
      <c r="AG50" s="8">
        <f t="shared" si="20"/>
        <v>107920.07</v>
      </c>
      <c r="AH50" s="8">
        <f t="shared" si="21"/>
        <v>107920.07</v>
      </c>
      <c r="EW50" s="14">
        <f t="shared" si="14"/>
        <v>2050481.33</v>
      </c>
      <c r="EX50" s="14">
        <f t="shared" si="15"/>
        <v>-10899927.049999999</v>
      </c>
    </row>
    <row r="51" spans="1:154" x14ac:dyDescent="0.35">
      <c r="A51" s="194">
        <f t="shared" si="53"/>
        <v>2024</v>
      </c>
      <c r="B51" s="194">
        <v>9</v>
      </c>
      <c r="C51" s="195" t="s">
        <v>527</v>
      </c>
      <c r="D51" s="202">
        <v>10600218.609999998</v>
      </c>
      <c r="H51" s="13"/>
      <c r="I51" s="94"/>
      <c r="J51" s="198">
        <f t="shared" si="17"/>
        <v>2024.09</v>
      </c>
      <c r="K51" s="194">
        <f t="shared" si="54"/>
        <v>2024</v>
      </c>
      <c r="L51" s="194">
        <v>9</v>
      </c>
      <c r="M51" s="195" t="s">
        <v>527</v>
      </c>
      <c r="N51" s="203">
        <f t="shared" si="50"/>
        <v>10600218.609999998</v>
      </c>
      <c r="O51" s="203">
        <f t="shared" si="45"/>
        <v>1413362.56</v>
      </c>
      <c r="P51" s="203">
        <f t="shared" si="46"/>
        <v>9186856.049999997</v>
      </c>
      <c r="Q51" s="203">
        <f t="shared" si="47"/>
        <v>88335.16</v>
      </c>
      <c r="R51" s="194">
        <f t="shared" si="51"/>
        <v>2034</v>
      </c>
      <c r="S51" s="194">
        <f t="shared" si="52"/>
        <v>8</v>
      </c>
      <c r="T51" s="174">
        <f t="shared" si="48"/>
        <v>88335.16</v>
      </c>
      <c r="U51" s="174">
        <f t="shared" si="48"/>
        <v>88335.16</v>
      </c>
      <c r="V51" s="174">
        <f t="shared" si="48"/>
        <v>88335.16</v>
      </c>
      <c r="W51" s="174">
        <f t="shared" si="48"/>
        <v>88335.16</v>
      </c>
      <c r="X51" s="174">
        <f t="shared" si="48"/>
        <v>88335.16</v>
      </c>
      <c r="Y51" s="174">
        <f t="shared" si="48"/>
        <v>88335.16</v>
      </c>
      <c r="Z51" s="174">
        <f t="shared" si="48"/>
        <v>88335.16</v>
      </c>
      <c r="AA51" s="174">
        <f t="shared" si="48"/>
        <v>88335.16</v>
      </c>
      <c r="AB51" s="174">
        <f t="shared" si="48"/>
        <v>88335.16</v>
      </c>
      <c r="AC51" s="174">
        <f t="shared" si="48"/>
        <v>88335.16</v>
      </c>
      <c r="AD51" s="174">
        <f t="shared" si="48"/>
        <v>88335.16</v>
      </c>
      <c r="AE51" s="174">
        <f t="shared" si="48"/>
        <v>88335.16</v>
      </c>
      <c r="AF51" s="174">
        <f t="shared" si="49"/>
        <v>1060021.9200000002</v>
      </c>
      <c r="AG51" s="8">
        <f t="shared" si="20"/>
        <v>88335.16</v>
      </c>
      <c r="AH51" s="8">
        <f t="shared" si="21"/>
        <v>88335.16</v>
      </c>
      <c r="EW51" s="14">
        <f t="shared" si="14"/>
        <v>1590032.8800000001</v>
      </c>
      <c r="EX51" s="14">
        <f t="shared" si="15"/>
        <v>-9010185.7299999967</v>
      </c>
    </row>
    <row r="52" spans="1:154" x14ac:dyDescent="0.35">
      <c r="A52" s="194">
        <f t="shared" si="53"/>
        <v>2024</v>
      </c>
      <c r="B52" s="204">
        <v>10</v>
      </c>
      <c r="C52" s="205" t="s">
        <v>528</v>
      </c>
      <c r="D52" s="202">
        <v>6946338.209999999</v>
      </c>
      <c r="H52" s="13"/>
      <c r="I52" s="94"/>
      <c r="J52" s="198">
        <f t="shared" si="17"/>
        <v>2024.1</v>
      </c>
      <c r="K52" s="194">
        <f t="shared" si="54"/>
        <v>2024</v>
      </c>
      <c r="L52" s="204">
        <v>10</v>
      </c>
      <c r="M52" s="205" t="s">
        <v>528</v>
      </c>
      <c r="N52" s="203">
        <f t="shared" si="50"/>
        <v>6946338.209999999</v>
      </c>
      <c r="O52" s="203">
        <f t="shared" si="45"/>
        <v>868292.25</v>
      </c>
      <c r="P52" s="203">
        <f t="shared" si="46"/>
        <v>6078045.959999999</v>
      </c>
      <c r="Q52" s="203">
        <f t="shared" si="47"/>
        <v>57886.15</v>
      </c>
      <c r="R52" s="194">
        <f t="shared" si="51"/>
        <v>2034</v>
      </c>
      <c r="S52" s="194">
        <f t="shared" si="52"/>
        <v>9</v>
      </c>
      <c r="T52" s="174">
        <f t="shared" si="48"/>
        <v>57886.15</v>
      </c>
      <c r="U52" s="174">
        <f t="shared" si="48"/>
        <v>57886.15</v>
      </c>
      <c r="V52" s="174">
        <f t="shared" si="48"/>
        <v>57886.15</v>
      </c>
      <c r="W52" s="174">
        <f t="shared" si="48"/>
        <v>57886.15</v>
      </c>
      <c r="X52" s="174">
        <f t="shared" si="48"/>
        <v>57886.15</v>
      </c>
      <c r="Y52" s="174">
        <f t="shared" si="48"/>
        <v>57886.15</v>
      </c>
      <c r="Z52" s="174">
        <f t="shared" si="48"/>
        <v>57886.15</v>
      </c>
      <c r="AA52" s="174">
        <f t="shared" si="48"/>
        <v>57886.15</v>
      </c>
      <c r="AB52" s="174">
        <f t="shared" si="48"/>
        <v>57886.15</v>
      </c>
      <c r="AC52" s="174">
        <f t="shared" si="48"/>
        <v>57886.15</v>
      </c>
      <c r="AD52" s="174">
        <f t="shared" si="48"/>
        <v>57886.15</v>
      </c>
      <c r="AE52" s="174">
        <f t="shared" si="48"/>
        <v>57886.15</v>
      </c>
      <c r="AF52" s="174">
        <f t="shared" si="49"/>
        <v>694633.80000000016</v>
      </c>
      <c r="AG52" s="8">
        <f t="shared" si="20"/>
        <v>57886.15</v>
      </c>
      <c r="AH52" s="8">
        <f t="shared" si="21"/>
        <v>57886.15</v>
      </c>
      <c r="EW52" s="14">
        <f t="shared" si="14"/>
        <v>984064.55</v>
      </c>
      <c r="EX52" s="14">
        <f t="shared" si="15"/>
        <v>-5962273.6599999992</v>
      </c>
    </row>
    <row r="53" spans="1:154" x14ac:dyDescent="0.35">
      <c r="A53" s="194">
        <f t="shared" si="53"/>
        <v>2024</v>
      </c>
      <c r="B53" s="204">
        <v>11</v>
      </c>
      <c r="C53" s="205" t="s">
        <v>529</v>
      </c>
      <c r="D53" s="202">
        <f>17967487.25-0.4</f>
        <v>17967486.850000001</v>
      </c>
      <c r="H53" s="13"/>
      <c r="I53" s="94"/>
      <c r="J53" s="198">
        <f t="shared" si="17"/>
        <v>2024.11</v>
      </c>
      <c r="K53" s="194">
        <f t="shared" si="54"/>
        <v>2024</v>
      </c>
      <c r="L53" s="204">
        <v>11</v>
      </c>
      <c r="M53" s="205" t="s">
        <v>529</v>
      </c>
      <c r="N53" s="203">
        <f t="shared" si="50"/>
        <v>17967486.850000001</v>
      </c>
      <c r="O53" s="203">
        <f t="shared" si="45"/>
        <v>2096206.8399999999</v>
      </c>
      <c r="P53" s="203">
        <f t="shared" si="46"/>
        <v>15871280.010000002</v>
      </c>
      <c r="Q53" s="203">
        <f t="shared" si="47"/>
        <v>149729.06</v>
      </c>
      <c r="R53" s="194">
        <f t="shared" si="51"/>
        <v>2034</v>
      </c>
      <c r="S53" s="194">
        <f t="shared" si="52"/>
        <v>10</v>
      </c>
      <c r="T53" s="174">
        <f t="shared" si="48"/>
        <v>149729.06</v>
      </c>
      <c r="U53" s="174">
        <f t="shared" si="48"/>
        <v>149729.06</v>
      </c>
      <c r="V53" s="174">
        <f t="shared" si="48"/>
        <v>149729.06</v>
      </c>
      <c r="W53" s="174">
        <f t="shared" si="48"/>
        <v>149729.06</v>
      </c>
      <c r="X53" s="174">
        <f t="shared" si="48"/>
        <v>149729.06</v>
      </c>
      <c r="Y53" s="174">
        <f t="shared" si="48"/>
        <v>149729.06</v>
      </c>
      <c r="Z53" s="174">
        <f t="shared" si="48"/>
        <v>149729.06</v>
      </c>
      <c r="AA53" s="174">
        <f t="shared" si="48"/>
        <v>149729.06</v>
      </c>
      <c r="AB53" s="174">
        <f t="shared" si="48"/>
        <v>149729.06</v>
      </c>
      <c r="AC53" s="174">
        <f t="shared" si="48"/>
        <v>149729.06</v>
      </c>
      <c r="AD53" s="174">
        <f t="shared" si="48"/>
        <v>149729.06</v>
      </c>
      <c r="AE53" s="174">
        <f t="shared" si="48"/>
        <v>149729.06</v>
      </c>
      <c r="AF53" s="174">
        <f t="shared" si="49"/>
        <v>1796748.7200000004</v>
      </c>
      <c r="AG53" s="8">
        <f t="shared" si="20"/>
        <v>149729.06</v>
      </c>
      <c r="AH53" s="8">
        <f t="shared" si="21"/>
        <v>149729.06</v>
      </c>
      <c r="EW53" s="14">
        <f t="shared" si="14"/>
        <v>2395664.96</v>
      </c>
      <c r="EX53" s="14">
        <f t="shared" si="15"/>
        <v>-15571821.890000001</v>
      </c>
    </row>
    <row r="54" spans="1:154" x14ac:dyDescent="0.35">
      <c r="A54" s="194">
        <f t="shared" si="53"/>
        <v>2024</v>
      </c>
      <c r="B54" s="204">
        <v>12</v>
      </c>
      <c r="C54" s="205" t="s">
        <v>523</v>
      </c>
      <c r="D54" s="202">
        <v>18078145.789999995</v>
      </c>
      <c r="H54" s="13"/>
      <c r="I54" s="94"/>
      <c r="J54" s="198">
        <f t="shared" si="17"/>
        <v>2024.12</v>
      </c>
      <c r="K54" s="194">
        <f t="shared" si="54"/>
        <v>2024</v>
      </c>
      <c r="L54" s="204">
        <v>12</v>
      </c>
      <c r="M54" s="205" t="s">
        <v>523</v>
      </c>
      <c r="N54" s="203">
        <f t="shared" si="50"/>
        <v>18078145.789999995</v>
      </c>
      <c r="O54" s="203">
        <f t="shared" si="45"/>
        <v>1958465.73</v>
      </c>
      <c r="P54" s="203">
        <f t="shared" si="46"/>
        <v>16119680.059999995</v>
      </c>
      <c r="Q54" s="203">
        <f t="shared" si="47"/>
        <v>150651.21</v>
      </c>
      <c r="R54" s="194">
        <f t="shared" si="51"/>
        <v>2034</v>
      </c>
      <c r="S54" s="194">
        <f t="shared" si="52"/>
        <v>11</v>
      </c>
      <c r="T54" s="174">
        <f t="shared" si="48"/>
        <v>150651.21</v>
      </c>
      <c r="U54" s="174">
        <f t="shared" si="48"/>
        <v>150651.21</v>
      </c>
      <c r="V54" s="174">
        <f t="shared" si="48"/>
        <v>150651.21</v>
      </c>
      <c r="W54" s="174">
        <f t="shared" si="48"/>
        <v>150651.21</v>
      </c>
      <c r="X54" s="174">
        <f t="shared" si="48"/>
        <v>150651.21</v>
      </c>
      <c r="Y54" s="174">
        <f t="shared" si="48"/>
        <v>150651.21</v>
      </c>
      <c r="Z54" s="174">
        <f t="shared" si="48"/>
        <v>150651.21</v>
      </c>
      <c r="AA54" s="174">
        <f t="shared" si="48"/>
        <v>150651.21</v>
      </c>
      <c r="AB54" s="174">
        <f t="shared" si="48"/>
        <v>150651.21</v>
      </c>
      <c r="AC54" s="174">
        <f t="shared" si="48"/>
        <v>150651.21</v>
      </c>
      <c r="AD54" s="174">
        <f t="shared" si="48"/>
        <v>150651.21</v>
      </c>
      <c r="AE54" s="174">
        <f t="shared" si="48"/>
        <v>150651.21</v>
      </c>
      <c r="AF54" s="174">
        <f t="shared" si="49"/>
        <v>1807814.5199999998</v>
      </c>
      <c r="AG54" s="8">
        <f t="shared" si="20"/>
        <v>150651.21</v>
      </c>
      <c r="AH54" s="8">
        <f t="shared" si="21"/>
        <v>150651.21</v>
      </c>
      <c r="EW54" s="14">
        <f t="shared" si="14"/>
        <v>2259768.15</v>
      </c>
      <c r="EX54" s="14">
        <f t="shared" si="15"/>
        <v>-15818377.639999995</v>
      </c>
    </row>
    <row r="55" spans="1:154" x14ac:dyDescent="0.35">
      <c r="A55" s="208">
        <f>+A54</f>
        <v>2024</v>
      </c>
      <c r="B55" s="208"/>
      <c r="C55" s="209" t="s">
        <v>116</v>
      </c>
      <c r="D55" s="210">
        <f>SUM(D43:D54)</f>
        <v>122477822.32999998</v>
      </c>
      <c r="I55" s="13"/>
      <c r="J55" s="211"/>
      <c r="K55" s="208">
        <f>+K54</f>
        <v>2024</v>
      </c>
      <c r="L55" s="208"/>
      <c r="M55" s="209" t="s">
        <v>116</v>
      </c>
      <c r="N55" s="210">
        <f>SUM(N43:N54)</f>
        <v>122477822.32999998</v>
      </c>
      <c r="O55" s="210">
        <f>SUM(O43:O54)</f>
        <v>17710636.559999999</v>
      </c>
      <c r="P55" s="210">
        <f>SUM(P43:P54)</f>
        <v>104767185.77000001</v>
      </c>
      <c r="Q55" s="210">
        <f>SUM(Q43:Q54)</f>
        <v>1020648.52</v>
      </c>
      <c r="R55" s="210"/>
      <c r="S55" s="210"/>
      <c r="T55" s="210">
        <f t="shared" ref="T55:AF55" si="55">SUM(T43:T54)</f>
        <v>1020648.52</v>
      </c>
      <c r="U55" s="210">
        <f t="shared" si="55"/>
        <v>1020648.52</v>
      </c>
      <c r="V55" s="210">
        <f t="shared" si="55"/>
        <v>1020648.52</v>
      </c>
      <c r="W55" s="210">
        <f t="shared" si="55"/>
        <v>1020648.52</v>
      </c>
      <c r="X55" s="210">
        <f t="shared" si="55"/>
        <v>1020648.52</v>
      </c>
      <c r="Y55" s="210">
        <f t="shared" si="55"/>
        <v>1020648.52</v>
      </c>
      <c r="Z55" s="210">
        <f t="shared" si="55"/>
        <v>1020648.52</v>
      </c>
      <c r="AA55" s="210">
        <f t="shared" si="55"/>
        <v>1020648.52</v>
      </c>
      <c r="AB55" s="210">
        <f t="shared" si="55"/>
        <v>1020648.52</v>
      </c>
      <c r="AC55" s="210">
        <f t="shared" si="55"/>
        <v>1020648.52</v>
      </c>
      <c r="AD55" s="210">
        <f t="shared" si="55"/>
        <v>1020648.52</v>
      </c>
      <c r="AE55" s="210">
        <f t="shared" si="55"/>
        <v>1020648.52</v>
      </c>
      <c r="AF55" s="210">
        <f t="shared" si="55"/>
        <v>12247782.24</v>
      </c>
      <c r="AG55" s="8">
        <f t="shared" si="20"/>
        <v>1020648.52</v>
      </c>
      <c r="AH55" s="8">
        <f t="shared" si="21"/>
        <v>1020648.52</v>
      </c>
      <c r="EW55" s="14">
        <f t="shared" si="14"/>
        <v>19751933.599999998</v>
      </c>
      <c r="EX55" s="14">
        <f t="shared" si="15"/>
        <v>-102725888.72999999</v>
      </c>
    </row>
    <row r="56" spans="1:154" x14ac:dyDescent="0.35">
      <c r="A56" s="194">
        <f>+A55+1</f>
        <v>2025</v>
      </c>
      <c r="B56" s="194">
        <v>1</v>
      </c>
      <c r="C56" s="195" t="s">
        <v>524</v>
      </c>
      <c r="D56" s="196">
        <v>2874044.36</v>
      </c>
      <c r="H56" s="13"/>
      <c r="I56" s="94"/>
      <c r="J56" s="198">
        <f t="shared" si="17"/>
        <v>2025.01</v>
      </c>
      <c r="K56" s="194">
        <f>+K55+1</f>
        <v>2025</v>
      </c>
      <c r="L56" s="194">
        <v>1</v>
      </c>
      <c r="M56" s="195" t="s">
        <v>524</v>
      </c>
      <c r="N56" s="203">
        <f>IF(I$3-J56&gt;=0,D56,0)</f>
        <v>2874044.36</v>
      </c>
      <c r="O56" s="200">
        <f t="shared" ref="O56:O67" si="56">IF((H$3-K56)*12+(H$2-L56+1)&gt;=$H$6,N56,IF((H$3-K56)*12+(H$2-L56+1)&lt;0,0,((H$3-K56)*12+(H$2-L56+1))*Q56))</f>
        <v>287404.44</v>
      </c>
      <c r="P56" s="201">
        <f t="shared" ref="P56:P67" si="57">+N56-O56</f>
        <v>2586639.92</v>
      </c>
      <c r="Q56" s="201">
        <f t="shared" ref="Q56:Q67" si="58">ROUND(N56/H$6,2)</f>
        <v>23950.37</v>
      </c>
      <c r="R56" s="194">
        <f>+R54</f>
        <v>2034</v>
      </c>
      <c r="S56" s="194">
        <f>+S54+1</f>
        <v>12</v>
      </c>
      <c r="T56" s="200">
        <f t="shared" si="48"/>
        <v>23950.37</v>
      </c>
      <c r="U56" s="200">
        <f t="shared" si="48"/>
        <v>23950.37</v>
      </c>
      <c r="V56" s="200">
        <f t="shared" si="48"/>
        <v>23950.37</v>
      </c>
      <c r="W56" s="200">
        <f t="shared" si="48"/>
        <v>23950.37</v>
      </c>
      <c r="X56" s="200">
        <f t="shared" si="48"/>
        <v>23950.37</v>
      </c>
      <c r="Y56" s="200">
        <f t="shared" si="48"/>
        <v>23950.37</v>
      </c>
      <c r="Z56" s="200">
        <f t="shared" si="48"/>
        <v>23950.37</v>
      </c>
      <c r="AA56" s="200">
        <f t="shared" si="48"/>
        <v>23950.37</v>
      </c>
      <c r="AB56" s="200">
        <f t="shared" si="48"/>
        <v>23950.37</v>
      </c>
      <c r="AC56" s="200">
        <f t="shared" si="48"/>
        <v>23950.37</v>
      </c>
      <c r="AD56" s="200">
        <f t="shared" si="48"/>
        <v>23950.37</v>
      </c>
      <c r="AE56" s="200">
        <f t="shared" si="48"/>
        <v>23950.37</v>
      </c>
      <c r="AF56" s="200">
        <f t="shared" ref="AF56:AF67" si="59">SUM(T56:AE56)</f>
        <v>287404.44</v>
      </c>
      <c r="AG56" s="13">
        <f>AE56</f>
        <v>23950.37</v>
      </c>
      <c r="AH56" s="6">
        <f>AG56</f>
        <v>23950.37</v>
      </c>
      <c r="AI56" s="6">
        <f t="shared" ref="AI56:CT57" si="60">AH56</f>
        <v>23950.37</v>
      </c>
      <c r="AJ56" s="6">
        <f t="shared" si="60"/>
        <v>23950.37</v>
      </c>
      <c r="AK56" s="6">
        <f t="shared" si="60"/>
        <v>23950.37</v>
      </c>
      <c r="AL56" s="6">
        <f t="shared" si="60"/>
        <v>23950.37</v>
      </c>
      <c r="AM56" s="6">
        <f t="shared" si="60"/>
        <v>23950.37</v>
      </c>
      <c r="AN56" s="6">
        <f t="shared" si="60"/>
        <v>23950.37</v>
      </c>
      <c r="AO56" s="6">
        <f t="shared" si="60"/>
        <v>23950.37</v>
      </c>
      <c r="AP56" s="6">
        <f t="shared" si="60"/>
        <v>23950.37</v>
      </c>
      <c r="AQ56" s="6">
        <f t="shared" si="60"/>
        <v>23950.37</v>
      </c>
      <c r="AR56" s="6">
        <f t="shared" si="60"/>
        <v>23950.37</v>
      </c>
      <c r="AS56" s="6">
        <f t="shared" si="60"/>
        <v>23950.37</v>
      </c>
      <c r="AT56" s="6">
        <f t="shared" si="60"/>
        <v>23950.37</v>
      </c>
      <c r="AU56" s="6">
        <f t="shared" si="60"/>
        <v>23950.37</v>
      </c>
      <c r="AV56" s="6">
        <f t="shared" si="60"/>
        <v>23950.37</v>
      </c>
      <c r="AW56" s="6">
        <f t="shared" si="60"/>
        <v>23950.37</v>
      </c>
      <c r="AX56" s="6">
        <f t="shared" si="60"/>
        <v>23950.37</v>
      </c>
      <c r="AY56" s="6">
        <f t="shared" si="60"/>
        <v>23950.37</v>
      </c>
      <c r="AZ56" s="6">
        <f t="shared" si="60"/>
        <v>23950.37</v>
      </c>
      <c r="BA56" s="6">
        <f t="shared" si="60"/>
        <v>23950.37</v>
      </c>
      <c r="BB56" s="6">
        <f t="shared" si="60"/>
        <v>23950.37</v>
      </c>
      <c r="BC56" s="6">
        <f t="shared" si="60"/>
        <v>23950.37</v>
      </c>
      <c r="BD56" s="6">
        <f t="shared" si="60"/>
        <v>23950.37</v>
      </c>
      <c r="BE56" s="6">
        <f t="shared" si="60"/>
        <v>23950.37</v>
      </c>
      <c r="BF56" s="6">
        <f t="shared" si="60"/>
        <v>23950.37</v>
      </c>
      <c r="BG56" s="6">
        <f t="shared" si="60"/>
        <v>23950.37</v>
      </c>
      <c r="BH56" s="6">
        <f t="shared" si="60"/>
        <v>23950.37</v>
      </c>
      <c r="BI56" s="6">
        <f t="shared" si="60"/>
        <v>23950.37</v>
      </c>
      <c r="BJ56" s="6">
        <f t="shared" si="60"/>
        <v>23950.37</v>
      </c>
      <c r="BK56" s="6">
        <f t="shared" si="60"/>
        <v>23950.37</v>
      </c>
      <c r="BL56" s="6">
        <f t="shared" si="60"/>
        <v>23950.37</v>
      </c>
      <c r="BM56" s="6">
        <f t="shared" si="60"/>
        <v>23950.37</v>
      </c>
      <c r="BN56" s="6">
        <f t="shared" si="60"/>
        <v>23950.37</v>
      </c>
      <c r="BO56" s="6">
        <f t="shared" si="60"/>
        <v>23950.37</v>
      </c>
      <c r="BP56" s="6">
        <f t="shared" si="60"/>
        <v>23950.37</v>
      </c>
      <c r="BQ56" s="6">
        <f t="shared" si="60"/>
        <v>23950.37</v>
      </c>
      <c r="BR56" s="6">
        <f t="shared" si="60"/>
        <v>23950.37</v>
      </c>
      <c r="BS56" s="6">
        <f t="shared" si="60"/>
        <v>23950.37</v>
      </c>
      <c r="BT56" s="6">
        <f t="shared" si="60"/>
        <v>23950.37</v>
      </c>
      <c r="BU56" s="6">
        <f t="shared" si="60"/>
        <v>23950.37</v>
      </c>
      <c r="BV56" s="6">
        <f t="shared" si="60"/>
        <v>23950.37</v>
      </c>
      <c r="BW56" s="6">
        <f t="shared" si="60"/>
        <v>23950.37</v>
      </c>
      <c r="BX56" s="6">
        <f t="shared" si="60"/>
        <v>23950.37</v>
      </c>
      <c r="BY56" s="6">
        <f t="shared" si="60"/>
        <v>23950.37</v>
      </c>
      <c r="BZ56" s="6">
        <f t="shared" si="60"/>
        <v>23950.37</v>
      </c>
      <c r="CA56" s="6">
        <f t="shared" si="60"/>
        <v>23950.37</v>
      </c>
      <c r="CB56" s="6">
        <f t="shared" si="60"/>
        <v>23950.37</v>
      </c>
      <c r="CC56" s="6">
        <f t="shared" si="60"/>
        <v>23950.37</v>
      </c>
      <c r="CD56" s="6">
        <f t="shared" si="60"/>
        <v>23950.37</v>
      </c>
      <c r="CE56" s="6">
        <f t="shared" si="60"/>
        <v>23950.37</v>
      </c>
      <c r="CF56" s="6">
        <f t="shared" si="60"/>
        <v>23950.37</v>
      </c>
      <c r="CG56" s="6">
        <f t="shared" si="60"/>
        <v>23950.37</v>
      </c>
      <c r="CH56" s="6">
        <f t="shared" si="60"/>
        <v>23950.37</v>
      </c>
      <c r="CI56" s="6">
        <f t="shared" si="60"/>
        <v>23950.37</v>
      </c>
      <c r="CJ56" s="6">
        <f t="shared" si="60"/>
        <v>23950.37</v>
      </c>
      <c r="CK56" s="6">
        <f t="shared" si="60"/>
        <v>23950.37</v>
      </c>
      <c r="CL56" s="6">
        <f t="shared" si="60"/>
        <v>23950.37</v>
      </c>
      <c r="CM56" s="6">
        <f t="shared" si="60"/>
        <v>23950.37</v>
      </c>
      <c r="CN56" s="6">
        <f t="shared" si="60"/>
        <v>23950.37</v>
      </c>
      <c r="CO56" s="6">
        <f t="shared" si="60"/>
        <v>23950.37</v>
      </c>
      <c r="CP56" s="6">
        <f t="shared" si="60"/>
        <v>23950.37</v>
      </c>
      <c r="CQ56" s="6">
        <f t="shared" si="60"/>
        <v>23950.37</v>
      </c>
      <c r="CR56" s="6">
        <f t="shared" si="60"/>
        <v>23950.37</v>
      </c>
      <c r="CS56" s="6">
        <f t="shared" si="60"/>
        <v>23950.37</v>
      </c>
      <c r="CT56" s="6">
        <f t="shared" si="60"/>
        <v>23950.37</v>
      </c>
      <c r="CU56" s="6">
        <f t="shared" ref="CU56:EK57" si="61">CT56</f>
        <v>23950.37</v>
      </c>
      <c r="CV56" s="6">
        <f t="shared" si="61"/>
        <v>23950.37</v>
      </c>
      <c r="CW56" s="6">
        <f t="shared" si="61"/>
        <v>23950.37</v>
      </c>
      <c r="CX56" s="6">
        <f t="shared" si="61"/>
        <v>23950.37</v>
      </c>
      <c r="CY56" s="6">
        <f t="shared" si="61"/>
        <v>23950.37</v>
      </c>
      <c r="CZ56" s="6">
        <f t="shared" si="61"/>
        <v>23950.37</v>
      </c>
      <c r="DA56" s="6">
        <f t="shared" si="61"/>
        <v>23950.37</v>
      </c>
      <c r="DB56" s="6">
        <f t="shared" si="61"/>
        <v>23950.37</v>
      </c>
      <c r="DC56" s="6">
        <f t="shared" si="61"/>
        <v>23950.37</v>
      </c>
      <c r="DD56" s="6">
        <f t="shared" si="61"/>
        <v>23950.37</v>
      </c>
      <c r="DE56" s="6">
        <f t="shared" si="61"/>
        <v>23950.37</v>
      </c>
      <c r="DF56" s="6">
        <f t="shared" si="61"/>
        <v>23950.37</v>
      </c>
      <c r="DG56" s="6">
        <f t="shared" si="61"/>
        <v>23950.37</v>
      </c>
      <c r="DH56" s="6">
        <f t="shared" si="61"/>
        <v>23950.37</v>
      </c>
      <c r="DI56" s="6">
        <f t="shared" si="61"/>
        <v>23950.37</v>
      </c>
      <c r="DJ56" s="6">
        <f t="shared" si="61"/>
        <v>23950.37</v>
      </c>
      <c r="DK56" s="6">
        <f t="shared" si="61"/>
        <v>23950.37</v>
      </c>
      <c r="DL56" s="6">
        <f t="shared" si="61"/>
        <v>23950.37</v>
      </c>
      <c r="DM56" s="6">
        <f t="shared" si="61"/>
        <v>23950.37</v>
      </c>
      <c r="DN56" s="6">
        <f t="shared" si="61"/>
        <v>23950.37</v>
      </c>
      <c r="DO56" s="6">
        <f t="shared" si="61"/>
        <v>23950.37</v>
      </c>
      <c r="DP56" s="6">
        <f t="shared" si="61"/>
        <v>23950.37</v>
      </c>
      <c r="DQ56" s="6">
        <f t="shared" si="61"/>
        <v>23950.37</v>
      </c>
      <c r="DR56" s="6">
        <f t="shared" si="61"/>
        <v>23950.37</v>
      </c>
      <c r="DS56" s="6">
        <f t="shared" si="61"/>
        <v>23950.37</v>
      </c>
      <c r="DT56" s="6">
        <f t="shared" si="61"/>
        <v>23950.37</v>
      </c>
      <c r="DU56" s="6">
        <f t="shared" si="61"/>
        <v>23950.37</v>
      </c>
      <c r="DV56" s="6">
        <f t="shared" si="61"/>
        <v>23950.37</v>
      </c>
      <c r="DW56" s="6">
        <f t="shared" si="61"/>
        <v>23950.37</v>
      </c>
      <c r="DX56" s="6">
        <f t="shared" si="61"/>
        <v>23950.37</v>
      </c>
      <c r="DY56" s="6">
        <f t="shared" si="61"/>
        <v>23950.37</v>
      </c>
      <c r="DZ56" s="6">
        <f t="shared" si="61"/>
        <v>23950.37</v>
      </c>
      <c r="EA56" s="6">
        <f t="shared" si="61"/>
        <v>23950.37</v>
      </c>
      <c r="EB56" s="6">
        <f t="shared" si="61"/>
        <v>23950.37</v>
      </c>
      <c r="EC56" s="6">
        <f t="shared" si="61"/>
        <v>23950.37</v>
      </c>
      <c r="ED56" s="6">
        <f t="shared" si="61"/>
        <v>23950.37</v>
      </c>
      <c r="EE56" s="6">
        <f t="shared" si="61"/>
        <v>23950.37</v>
      </c>
      <c r="EF56" s="6">
        <f t="shared" si="61"/>
        <v>23950.37</v>
      </c>
      <c r="EG56" s="6">
        <f t="shared" si="61"/>
        <v>23950.37</v>
      </c>
      <c r="EH56" s="6">
        <f t="shared" si="61"/>
        <v>23950.37</v>
      </c>
      <c r="EI56" s="6">
        <f t="shared" si="61"/>
        <v>23950.37</v>
      </c>
      <c r="EJ56" s="6">
        <f t="shared" si="61"/>
        <v>23950.37</v>
      </c>
      <c r="EK56" s="6">
        <f t="shared" si="61"/>
        <v>23950.37</v>
      </c>
      <c r="EW56" s="14">
        <f>SUM(AG56:EV56)+O56</f>
        <v>2897994.770000007</v>
      </c>
      <c r="EX56" s="14">
        <f>EW56-N56</f>
        <v>23950.410000007134</v>
      </c>
    </row>
    <row r="57" spans="1:154" x14ac:dyDescent="0.35">
      <c r="A57" s="194">
        <f>+A56</f>
        <v>2025</v>
      </c>
      <c r="B57" s="194">
        <v>2</v>
      </c>
      <c r="C57" s="195" t="s">
        <v>525</v>
      </c>
      <c r="D57" s="212">
        <v>13218092.090000004</v>
      </c>
      <c r="H57" s="13"/>
      <c r="I57" s="94"/>
      <c r="J57" s="198">
        <f t="shared" si="17"/>
        <v>2025.02</v>
      </c>
      <c r="K57" s="194">
        <f>+K56</f>
        <v>2025</v>
      </c>
      <c r="L57" s="194">
        <v>2</v>
      </c>
      <c r="M57" s="195" t="s">
        <v>525</v>
      </c>
      <c r="N57" s="203">
        <f t="shared" ref="N57:N67" si="62">IF(I$3-J57&gt;=0,D57,0)</f>
        <v>13218092.090000004</v>
      </c>
      <c r="O57" s="203">
        <f t="shared" si="56"/>
        <v>1211658.47</v>
      </c>
      <c r="P57" s="203">
        <f t="shared" si="57"/>
        <v>12006433.620000003</v>
      </c>
      <c r="Q57" s="203">
        <f t="shared" si="58"/>
        <v>110150.77</v>
      </c>
      <c r="R57" s="194">
        <f t="shared" ref="R57:R67" si="63">+K57+$H$5</f>
        <v>2035</v>
      </c>
      <c r="S57" s="194">
        <f t="shared" ref="S57:S67" si="64">+L57-1</f>
        <v>1</v>
      </c>
      <c r="T57" s="174">
        <f t="shared" si="48"/>
        <v>0</v>
      </c>
      <c r="U57" s="174">
        <f t="shared" si="48"/>
        <v>110150.77</v>
      </c>
      <c r="V57" s="174">
        <f t="shared" si="48"/>
        <v>110150.77</v>
      </c>
      <c r="W57" s="174">
        <f t="shared" si="48"/>
        <v>110150.77</v>
      </c>
      <c r="X57" s="174">
        <f t="shared" si="48"/>
        <v>110150.77</v>
      </c>
      <c r="Y57" s="174">
        <f t="shared" si="48"/>
        <v>110150.77</v>
      </c>
      <c r="Z57" s="174">
        <f t="shared" si="48"/>
        <v>110150.77</v>
      </c>
      <c r="AA57" s="174">
        <f t="shared" si="48"/>
        <v>110150.77</v>
      </c>
      <c r="AB57" s="174">
        <f t="shared" si="48"/>
        <v>110150.77</v>
      </c>
      <c r="AC57" s="174">
        <f t="shared" si="48"/>
        <v>110150.77</v>
      </c>
      <c r="AD57" s="174">
        <f t="shared" si="48"/>
        <v>110150.77</v>
      </c>
      <c r="AE57" s="174">
        <f t="shared" si="48"/>
        <v>110150.77</v>
      </c>
      <c r="AF57" s="174">
        <f t="shared" si="59"/>
        <v>1211658.47</v>
      </c>
      <c r="AG57" s="14">
        <f>AE57</f>
        <v>110150.77</v>
      </c>
      <c r="AH57" s="6">
        <f t="shared" ref="AH57:AW63" si="65">AG57</f>
        <v>110150.77</v>
      </c>
      <c r="AI57" s="6">
        <f t="shared" si="65"/>
        <v>110150.77</v>
      </c>
      <c r="AJ57" s="6">
        <f t="shared" si="65"/>
        <v>110150.77</v>
      </c>
      <c r="AK57" s="6">
        <f t="shared" si="65"/>
        <v>110150.77</v>
      </c>
      <c r="AL57" s="6">
        <f t="shared" si="65"/>
        <v>110150.77</v>
      </c>
      <c r="AM57" s="6">
        <f t="shared" si="65"/>
        <v>110150.77</v>
      </c>
      <c r="AN57" s="6">
        <f t="shared" si="65"/>
        <v>110150.77</v>
      </c>
      <c r="AO57" s="6">
        <f t="shared" si="65"/>
        <v>110150.77</v>
      </c>
      <c r="AP57" s="6">
        <f t="shared" si="65"/>
        <v>110150.77</v>
      </c>
      <c r="AQ57" s="6">
        <f t="shared" si="65"/>
        <v>110150.77</v>
      </c>
      <c r="AR57" s="6">
        <f t="shared" si="65"/>
        <v>110150.77</v>
      </c>
      <c r="AS57" s="6">
        <f t="shared" si="65"/>
        <v>110150.77</v>
      </c>
      <c r="AT57" s="6">
        <f t="shared" si="65"/>
        <v>110150.77</v>
      </c>
      <c r="AU57" s="6">
        <f t="shared" si="65"/>
        <v>110150.77</v>
      </c>
      <c r="AV57" s="6">
        <f t="shared" si="65"/>
        <v>110150.77</v>
      </c>
      <c r="AW57" s="6">
        <f t="shared" si="65"/>
        <v>110150.77</v>
      </c>
      <c r="AX57" s="6">
        <f t="shared" si="60"/>
        <v>110150.77</v>
      </c>
      <c r="AY57" s="6">
        <f t="shared" si="60"/>
        <v>110150.77</v>
      </c>
      <c r="AZ57" s="6">
        <f t="shared" si="60"/>
        <v>110150.77</v>
      </c>
      <c r="BA57" s="6">
        <f t="shared" si="60"/>
        <v>110150.77</v>
      </c>
      <c r="BB57" s="6">
        <f t="shared" si="60"/>
        <v>110150.77</v>
      </c>
      <c r="BC57" s="6">
        <f t="shared" si="60"/>
        <v>110150.77</v>
      </c>
      <c r="BD57" s="6">
        <f t="shared" si="60"/>
        <v>110150.77</v>
      </c>
      <c r="BE57" s="6">
        <f t="shared" si="60"/>
        <v>110150.77</v>
      </c>
      <c r="BF57" s="6">
        <f t="shared" si="60"/>
        <v>110150.77</v>
      </c>
      <c r="BG57" s="6">
        <f t="shared" si="60"/>
        <v>110150.77</v>
      </c>
      <c r="BH57" s="6">
        <f t="shared" si="60"/>
        <v>110150.77</v>
      </c>
      <c r="BI57" s="6">
        <f t="shared" si="60"/>
        <v>110150.77</v>
      </c>
      <c r="BJ57" s="6">
        <f t="shared" si="60"/>
        <v>110150.77</v>
      </c>
      <c r="BK57" s="6">
        <f t="shared" si="60"/>
        <v>110150.77</v>
      </c>
      <c r="BL57" s="6">
        <f t="shared" si="60"/>
        <v>110150.77</v>
      </c>
      <c r="BM57" s="6">
        <f t="shared" si="60"/>
        <v>110150.77</v>
      </c>
      <c r="BN57" s="6">
        <f t="shared" si="60"/>
        <v>110150.77</v>
      </c>
      <c r="BO57" s="6">
        <f t="shared" si="60"/>
        <v>110150.77</v>
      </c>
      <c r="BP57" s="6">
        <f t="shared" si="60"/>
        <v>110150.77</v>
      </c>
      <c r="BQ57" s="6">
        <f t="shared" si="60"/>
        <v>110150.77</v>
      </c>
      <c r="BR57" s="6">
        <f t="shared" si="60"/>
        <v>110150.77</v>
      </c>
      <c r="BS57" s="6">
        <f t="shared" si="60"/>
        <v>110150.77</v>
      </c>
      <c r="BT57" s="6">
        <f t="shared" si="60"/>
        <v>110150.77</v>
      </c>
      <c r="BU57" s="6">
        <f t="shared" si="60"/>
        <v>110150.77</v>
      </c>
      <c r="BV57" s="6">
        <f t="shared" si="60"/>
        <v>110150.77</v>
      </c>
      <c r="BW57" s="6">
        <f t="shared" si="60"/>
        <v>110150.77</v>
      </c>
      <c r="BX57" s="6">
        <f t="shared" si="60"/>
        <v>110150.77</v>
      </c>
      <c r="BY57" s="6">
        <f t="shared" si="60"/>
        <v>110150.77</v>
      </c>
      <c r="BZ57" s="6">
        <f t="shared" si="60"/>
        <v>110150.77</v>
      </c>
      <c r="CA57" s="6">
        <f t="shared" si="60"/>
        <v>110150.77</v>
      </c>
      <c r="CB57" s="6">
        <f t="shared" si="60"/>
        <v>110150.77</v>
      </c>
      <c r="CC57" s="6">
        <f t="shared" si="60"/>
        <v>110150.77</v>
      </c>
      <c r="CD57" s="6">
        <f t="shared" si="60"/>
        <v>110150.77</v>
      </c>
      <c r="CE57" s="6">
        <f t="shared" si="60"/>
        <v>110150.77</v>
      </c>
      <c r="CF57" s="6">
        <f t="shared" si="60"/>
        <v>110150.77</v>
      </c>
      <c r="CG57" s="6">
        <f t="shared" si="60"/>
        <v>110150.77</v>
      </c>
      <c r="CH57" s="6">
        <f t="shared" si="60"/>
        <v>110150.77</v>
      </c>
      <c r="CI57" s="6">
        <f t="shared" si="60"/>
        <v>110150.77</v>
      </c>
      <c r="CJ57" s="6">
        <f t="shared" si="60"/>
        <v>110150.77</v>
      </c>
      <c r="CK57" s="6">
        <f t="shared" si="60"/>
        <v>110150.77</v>
      </c>
      <c r="CL57" s="6">
        <f t="shared" si="60"/>
        <v>110150.77</v>
      </c>
      <c r="CM57" s="6">
        <f t="shared" si="60"/>
        <v>110150.77</v>
      </c>
      <c r="CN57" s="6">
        <f t="shared" si="60"/>
        <v>110150.77</v>
      </c>
      <c r="CO57" s="6">
        <f t="shared" si="60"/>
        <v>110150.77</v>
      </c>
      <c r="CP57" s="6">
        <f t="shared" si="60"/>
        <v>110150.77</v>
      </c>
      <c r="CQ57" s="6">
        <f t="shared" si="60"/>
        <v>110150.77</v>
      </c>
      <c r="CR57" s="6">
        <f t="shared" si="60"/>
        <v>110150.77</v>
      </c>
      <c r="CS57" s="6">
        <f t="shared" si="60"/>
        <v>110150.77</v>
      </c>
      <c r="CT57" s="6">
        <f t="shared" si="60"/>
        <v>110150.77</v>
      </c>
      <c r="CU57" s="6">
        <f t="shared" si="61"/>
        <v>110150.77</v>
      </c>
      <c r="CV57" s="6">
        <f t="shared" si="61"/>
        <v>110150.77</v>
      </c>
      <c r="CW57" s="6">
        <f t="shared" si="61"/>
        <v>110150.77</v>
      </c>
      <c r="CX57" s="6">
        <f t="shared" si="61"/>
        <v>110150.77</v>
      </c>
      <c r="CY57" s="6">
        <f t="shared" si="61"/>
        <v>110150.77</v>
      </c>
      <c r="CZ57" s="6">
        <f t="shared" si="61"/>
        <v>110150.77</v>
      </c>
      <c r="DA57" s="6">
        <f t="shared" si="61"/>
        <v>110150.77</v>
      </c>
      <c r="DB57" s="6">
        <f t="shared" si="61"/>
        <v>110150.77</v>
      </c>
      <c r="DC57" s="6">
        <f t="shared" si="61"/>
        <v>110150.77</v>
      </c>
      <c r="DD57" s="6">
        <f t="shared" si="61"/>
        <v>110150.77</v>
      </c>
      <c r="DE57" s="6">
        <f t="shared" si="61"/>
        <v>110150.77</v>
      </c>
      <c r="DF57" s="6">
        <f t="shared" si="61"/>
        <v>110150.77</v>
      </c>
      <c r="DG57" s="6">
        <f t="shared" si="61"/>
        <v>110150.77</v>
      </c>
      <c r="DH57" s="6">
        <f t="shared" si="61"/>
        <v>110150.77</v>
      </c>
      <c r="DI57" s="6">
        <f t="shared" si="61"/>
        <v>110150.77</v>
      </c>
      <c r="DJ57" s="6">
        <f t="shared" si="61"/>
        <v>110150.77</v>
      </c>
      <c r="DK57" s="6">
        <f t="shared" si="61"/>
        <v>110150.77</v>
      </c>
      <c r="DL57" s="6">
        <f t="shared" si="61"/>
        <v>110150.77</v>
      </c>
      <c r="DM57" s="6">
        <f t="shared" si="61"/>
        <v>110150.77</v>
      </c>
      <c r="DN57" s="6">
        <f t="shared" si="61"/>
        <v>110150.77</v>
      </c>
      <c r="DO57" s="6">
        <f t="shared" si="61"/>
        <v>110150.77</v>
      </c>
      <c r="DP57" s="6">
        <f t="shared" si="61"/>
        <v>110150.77</v>
      </c>
      <c r="DQ57" s="6">
        <f t="shared" si="61"/>
        <v>110150.77</v>
      </c>
      <c r="DR57" s="6">
        <f t="shared" si="61"/>
        <v>110150.77</v>
      </c>
      <c r="DS57" s="6">
        <f t="shared" si="61"/>
        <v>110150.77</v>
      </c>
      <c r="DT57" s="6">
        <f t="shared" si="61"/>
        <v>110150.77</v>
      </c>
      <c r="DU57" s="6">
        <f t="shared" si="61"/>
        <v>110150.77</v>
      </c>
      <c r="DV57" s="6">
        <f t="shared" si="61"/>
        <v>110150.77</v>
      </c>
      <c r="DW57" s="6">
        <f t="shared" si="61"/>
        <v>110150.77</v>
      </c>
      <c r="DX57" s="6">
        <f t="shared" si="61"/>
        <v>110150.77</v>
      </c>
      <c r="DY57" s="6">
        <f t="shared" si="61"/>
        <v>110150.77</v>
      </c>
      <c r="DZ57" s="6">
        <f t="shared" si="61"/>
        <v>110150.77</v>
      </c>
      <c r="EA57" s="6">
        <f t="shared" si="61"/>
        <v>110150.77</v>
      </c>
      <c r="EB57" s="6">
        <f t="shared" si="61"/>
        <v>110150.77</v>
      </c>
      <c r="EC57" s="6">
        <f t="shared" si="61"/>
        <v>110150.77</v>
      </c>
      <c r="ED57" s="6">
        <f t="shared" si="61"/>
        <v>110150.77</v>
      </c>
      <c r="EE57" s="6">
        <f t="shared" si="61"/>
        <v>110150.77</v>
      </c>
      <c r="EF57" s="6">
        <f t="shared" si="61"/>
        <v>110150.77</v>
      </c>
      <c r="EG57" s="6">
        <f t="shared" si="61"/>
        <v>110150.77</v>
      </c>
      <c r="EH57" s="6">
        <f t="shared" si="61"/>
        <v>110150.77</v>
      </c>
      <c r="EI57" s="6">
        <f t="shared" si="61"/>
        <v>110150.77</v>
      </c>
      <c r="EJ57" s="6">
        <f t="shared" si="61"/>
        <v>110150.77</v>
      </c>
      <c r="EK57" s="6">
        <f t="shared" si="61"/>
        <v>110150.77</v>
      </c>
      <c r="EL57" s="6">
        <f t="shared" ref="EL57" si="66">EK57</f>
        <v>110150.77</v>
      </c>
      <c r="EW57" s="14">
        <f t="shared" si="14"/>
        <v>13328243.16999997</v>
      </c>
      <c r="EX57" s="14">
        <f t="shared" si="15"/>
        <v>110151.07999996655</v>
      </c>
    </row>
    <row r="58" spans="1:154" x14ac:dyDescent="0.35">
      <c r="A58" s="194">
        <f t="shared" ref="A58:A67" si="67">+A57</f>
        <v>2025</v>
      </c>
      <c r="B58" s="194">
        <v>3</v>
      </c>
      <c r="C58" s="195" t="s">
        <v>302</v>
      </c>
      <c r="D58" s="212">
        <v>-8465664.0299999993</v>
      </c>
      <c r="H58" s="13"/>
      <c r="I58" s="94"/>
      <c r="J58" s="198">
        <f t="shared" si="17"/>
        <v>2025.03</v>
      </c>
      <c r="K58" s="194">
        <f t="shared" ref="K58:K67" si="68">+K57</f>
        <v>2025</v>
      </c>
      <c r="L58" s="194">
        <v>3</v>
      </c>
      <c r="M58" s="195" t="s">
        <v>302</v>
      </c>
      <c r="N58" s="203">
        <f t="shared" si="62"/>
        <v>-8465664.0299999993</v>
      </c>
      <c r="O58" s="203">
        <f t="shared" si="56"/>
        <v>-705472</v>
      </c>
      <c r="P58" s="203">
        <f t="shared" si="57"/>
        <v>-7760192.0299999993</v>
      </c>
      <c r="Q58" s="203">
        <f t="shared" si="58"/>
        <v>-70547.199999999997</v>
      </c>
      <c r="R58" s="194">
        <f t="shared" si="63"/>
        <v>2035</v>
      </c>
      <c r="S58" s="194">
        <f t="shared" si="64"/>
        <v>2</v>
      </c>
      <c r="T58" s="174">
        <f t="shared" si="48"/>
        <v>0</v>
      </c>
      <c r="U58" s="174">
        <f t="shared" si="48"/>
        <v>0</v>
      </c>
      <c r="V58" s="174">
        <f t="shared" si="48"/>
        <v>-70547.199999999997</v>
      </c>
      <c r="W58" s="174">
        <f t="shared" si="48"/>
        <v>-70547.199999999997</v>
      </c>
      <c r="X58" s="174">
        <f t="shared" si="48"/>
        <v>-70547.199999999997</v>
      </c>
      <c r="Y58" s="174">
        <f t="shared" si="48"/>
        <v>-70547.199999999997</v>
      </c>
      <c r="Z58" s="174">
        <f t="shared" si="48"/>
        <v>-70547.199999999997</v>
      </c>
      <c r="AA58" s="174">
        <f t="shared" si="48"/>
        <v>-70547.199999999997</v>
      </c>
      <c r="AB58" s="174">
        <f t="shared" si="48"/>
        <v>-70547.199999999997</v>
      </c>
      <c r="AC58" s="174">
        <f t="shared" si="48"/>
        <v>-70547.199999999997</v>
      </c>
      <c r="AD58" s="174">
        <f t="shared" si="48"/>
        <v>-70547.199999999997</v>
      </c>
      <c r="AE58" s="174">
        <f t="shared" si="48"/>
        <v>-70547.199999999997</v>
      </c>
      <c r="AF58" s="174">
        <f t="shared" si="59"/>
        <v>-705471.99999999988</v>
      </c>
      <c r="AG58" s="14">
        <f t="shared" ref="AG58:AG63" si="69">AE58</f>
        <v>-70547.199999999997</v>
      </c>
      <c r="AH58" s="6">
        <f t="shared" si="65"/>
        <v>-70547.199999999997</v>
      </c>
      <c r="AI58" s="6">
        <f t="shared" ref="AI58" si="70">AH58</f>
        <v>-70547.199999999997</v>
      </c>
      <c r="EW58" s="14">
        <f t="shared" si="14"/>
        <v>-917113.6</v>
      </c>
      <c r="EX58" s="14">
        <f t="shared" si="15"/>
        <v>7548550.4299999997</v>
      </c>
    </row>
    <row r="59" spans="1:154" x14ac:dyDescent="0.35">
      <c r="A59" s="194">
        <f t="shared" si="67"/>
        <v>2025</v>
      </c>
      <c r="B59" s="194">
        <v>4</v>
      </c>
      <c r="C59" s="195" t="s">
        <v>303</v>
      </c>
      <c r="D59" s="212">
        <v>20611064.149999999</v>
      </c>
      <c r="H59" s="13"/>
      <c r="I59" s="94"/>
      <c r="J59" s="198">
        <f t="shared" si="17"/>
        <v>2025.04</v>
      </c>
      <c r="K59" s="194">
        <f t="shared" si="68"/>
        <v>2025</v>
      </c>
      <c r="L59" s="194">
        <v>4</v>
      </c>
      <c r="M59" s="195" t="s">
        <v>303</v>
      </c>
      <c r="N59" s="203">
        <f t="shared" si="62"/>
        <v>20611064.149999999</v>
      </c>
      <c r="O59" s="203">
        <f t="shared" si="56"/>
        <v>1545829.83</v>
      </c>
      <c r="P59" s="203">
        <f t="shared" si="57"/>
        <v>19065234.32</v>
      </c>
      <c r="Q59" s="203">
        <f t="shared" si="58"/>
        <v>171758.87</v>
      </c>
      <c r="R59" s="194">
        <f t="shared" si="63"/>
        <v>2035</v>
      </c>
      <c r="S59" s="194">
        <f t="shared" si="64"/>
        <v>3</v>
      </c>
      <c r="T59" s="174">
        <f t="shared" ref="T59:AE67" si="71">IF($H$3=$K59,IF(T$8&lt;$L59,0,$Q59))+IF($H$3&lt;$R59,$Q59,0)+IF($H$3=$R59,IF(T$8&lt;$S59,$Q59,0))+IF($H$3=$R59,IF(T$8=$S59,$Q59,IF($H$3&gt;$R59,0)))+IF($O59=0,-$Q59,IF($H$3&gt;$K59,0,-$Q59))</f>
        <v>0</v>
      </c>
      <c r="U59" s="174">
        <f t="shared" si="71"/>
        <v>0</v>
      </c>
      <c r="V59" s="174">
        <f t="shared" si="71"/>
        <v>0</v>
      </c>
      <c r="W59" s="174">
        <f t="shared" si="71"/>
        <v>171758.87</v>
      </c>
      <c r="X59" s="174">
        <f t="shared" si="71"/>
        <v>171758.87</v>
      </c>
      <c r="Y59" s="174">
        <f t="shared" si="71"/>
        <v>171758.87</v>
      </c>
      <c r="Z59" s="174">
        <f t="shared" si="71"/>
        <v>171758.87</v>
      </c>
      <c r="AA59" s="174">
        <f t="shared" si="71"/>
        <v>171758.87</v>
      </c>
      <c r="AB59" s="174">
        <f t="shared" si="71"/>
        <v>171758.87</v>
      </c>
      <c r="AC59" s="174">
        <f t="shared" si="71"/>
        <v>171758.87</v>
      </c>
      <c r="AD59" s="174">
        <f t="shared" si="71"/>
        <v>171758.87</v>
      </c>
      <c r="AE59" s="174">
        <f t="shared" si="71"/>
        <v>171758.87</v>
      </c>
      <c r="AF59" s="174">
        <f t="shared" si="59"/>
        <v>1545829.83</v>
      </c>
      <c r="AG59" s="14">
        <f t="shared" si="69"/>
        <v>171758.87</v>
      </c>
      <c r="AH59" s="6">
        <f t="shared" si="65"/>
        <v>171758.87</v>
      </c>
      <c r="AI59" s="6">
        <f t="shared" ref="AI59" si="72">AH59</f>
        <v>171758.87</v>
      </c>
      <c r="EW59" s="14">
        <f t="shared" si="14"/>
        <v>2061106.44</v>
      </c>
      <c r="EX59" s="14">
        <f t="shared" si="15"/>
        <v>-18549957.709999997</v>
      </c>
    </row>
    <row r="60" spans="1:154" x14ac:dyDescent="0.35">
      <c r="A60" s="194">
        <f t="shared" si="67"/>
        <v>2025</v>
      </c>
      <c r="B60" s="194">
        <v>5</v>
      </c>
      <c r="C60" s="195" t="s">
        <v>166</v>
      </c>
      <c r="D60" s="202">
        <v>6335476.5200000014</v>
      </c>
      <c r="H60" s="13"/>
      <c r="I60" s="94"/>
      <c r="J60" s="198">
        <f t="shared" si="17"/>
        <v>2025.05</v>
      </c>
      <c r="K60" s="194">
        <f t="shared" si="68"/>
        <v>2025</v>
      </c>
      <c r="L60" s="194">
        <v>5</v>
      </c>
      <c r="M60" s="195" t="s">
        <v>166</v>
      </c>
      <c r="N60" s="203">
        <f t="shared" si="62"/>
        <v>6335476.5200000014</v>
      </c>
      <c r="O60" s="203">
        <f t="shared" si="56"/>
        <v>422365.12</v>
      </c>
      <c r="P60" s="203">
        <f t="shared" si="57"/>
        <v>5913111.4000000013</v>
      </c>
      <c r="Q60" s="203">
        <f t="shared" si="58"/>
        <v>52795.64</v>
      </c>
      <c r="R60" s="194">
        <f t="shared" si="63"/>
        <v>2035</v>
      </c>
      <c r="S60" s="194">
        <f t="shared" si="64"/>
        <v>4</v>
      </c>
      <c r="T60" s="174">
        <f t="shared" si="71"/>
        <v>0</v>
      </c>
      <c r="U60" s="174">
        <f t="shared" si="71"/>
        <v>0</v>
      </c>
      <c r="V60" s="174">
        <f t="shared" si="71"/>
        <v>0</v>
      </c>
      <c r="W60" s="174">
        <f t="shared" si="71"/>
        <v>0</v>
      </c>
      <c r="X60" s="174">
        <f t="shared" si="71"/>
        <v>52795.64</v>
      </c>
      <c r="Y60" s="174">
        <f t="shared" si="71"/>
        <v>52795.64</v>
      </c>
      <c r="Z60" s="174">
        <f t="shared" si="71"/>
        <v>52795.64</v>
      </c>
      <c r="AA60" s="174">
        <f t="shared" si="71"/>
        <v>52795.64</v>
      </c>
      <c r="AB60" s="174">
        <f t="shared" si="71"/>
        <v>52795.64</v>
      </c>
      <c r="AC60" s="174">
        <f t="shared" si="71"/>
        <v>52795.64</v>
      </c>
      <c r="AD60" s="174">
        <f t="shared" si="71"/>
        <v>52795.64</v>
      </c>
      <c r="AE60" s="174">
        <f t="shared" si="71"/>
        <v>52795.64</v>
      </c>
      <c r="AF60" s="174">
        <f t="shared" si="59"/>
        <v>422365.12000000005</v>
      </c>
      <c r="AG60" s="14">
        <f t="shared" si="69"/>
        <v>52795.64</v>
      </c>
      <c r="AH60" s="6">
        <f t="shared" si="65"/>
        <v>52795.64</v>
      </c>
      <c r="AI60" s="6">
        <f t="shared" ref="AI60" si="73">AH60</f>
        <v>52795.64</v>
      </c>
      <c r="EW60" s="14">
        <f t="shared" si="14"/>
        <v>580752.04</v>
      </c>
      <c r="EX60" s="14">
        <f t="shared" si="15"/>
        <v>-5754724.4800000014</v>
      </c>
    </row>
    <row r="61" spans="1:154" x14ac:dyDescent="0.35">
      <c r="A61" s="194">
        <f t="shared" si="67"/>
        <v>2025</v>
      </c>
      <c r="B61" s="194">
        <v>6</v>
      </c>
      <c r="C61" s="195" t="s">
        <v>304</v>
      </c>
      <c r="D61" s="202">
        <v>4360603.6499999994</v>
      </c>
      <c r="H61" s="13"/>
      <c r="I61" s="94"/>
      <c r="J61" s="198">
        <f t="shared" si="17"/>
        <v>2025.06</v>
      </c>
      <c r="K61" s="194">
        <f t="shared" si="68"/>
        <v>2025</v>
      </c>
      <c r="L61" s="194">
        <v>6</v>
      </c>
      <c r="M61" s="195" t="s">
        <v>304</v>
      </c>
      <c r="N61" s="203">
        <f t="shared" si="62"/>
        <v>4360603.6499999994</v>
      </c>
      <c r="O61" s="203">
        <f t="shared" si="56"/>
        <v>254368.52000000002</v>
      </c>
      <c r="P61" s="203">
        <f t="shared" si="57"/>
        <v>4106235.1299999994</v>
      </c>
      <c r="Q61" s="203">
        <f t="shared" si="58"/>
        <v>36338.36</v>
      </c>
      <c r="R61" s="194">
        <f t="shared" si="63"/>
        <v>2035</v>
      </c>
      <c r="S61" s="194">
        <f t="shared" si="64"/>
        <v>5</v>
      </c>
      <c r="T61" s="174">
        <f t="shared" si="71"/>
        <v>0</v>
      </c>
      <c r="U61" s="174">
        <f t="shared" si="71"/>
        <v>0</v>
      </c>
      <c r="V61" s="174">
        <f t="shared" si="71"/>
        <v>0</v>
      </c>
      <c r="W61" s="174">
        <f t="shared" si="71"/>
        <v>0</v>
      </c>
      <c r="X61" s="174">
        <f t="shared" si="71"/>
        <v>0</v>
      </c>
      <c r="Y61" s="174">
        <f t="shared" si="71"/>
        <v>36338.36</v>
      </c>
      <c r="Z61" s="174">
        <f t="shared" si="71"/>
        <v>36338.36</v>
      </c>
      <c r="AA61" s="174">
        <f t="shared" si="71"/>
        <v>36338.36</v>
      </c>
      <c r="AB61" s="174">
        <f t="shared" si="71"/>
        <v>36338.36</v>
      </c>
      <c r="AC61" s="174">
        <f t="shared" si="71"/>
        <v>36338.36</v>
      </c>
      <c r="AD61" s="174">
        <f t="shared" si="71"/>
        <v>36338.36</v>
      </c>
      <c r="AE61" s="174">
        <f t="shared" si="71"/>
        <v>36338.36</v>
      </c>
      <c r="AF61" s="174">
        <f t="shared" si="59"/>
        <v>254368.51999999996</v>
      </c>
      <c r="AG61" s="14">
        <f t="shared" si="69"/>
        <v>36338.36</v>
      </c>
      <c r="AH61" s="6">
        <f t="shared" si="65"/>
        <v>36338.36</v>
      </c>
      <c r="AI61" s="6">
        <f t="shared" ref="AI61" si="74">AH61</f>
        <v>36338.36</v>
      </c>
      <c r="EW61" s="14">
        <f t="shared" si="14"/>
        <v>363383.60000000003</v>
      </c>
      <c r="EX61" s="14">
        <f t="shared" si="15"/>
        <v>-3997220.0499999993</v>
      </c>
    </row>
    <row r="62" spans="1:154" x14ac:dyDescent="0.35">
      <c r="A62" s="194">
        <f t="shared" si="67"/>
        <v>2025</v>
      </c>
      <c r="B62" s="194">
        <v>7</v>
      </c>
      <c r="C62" s="195" t="s">
        <v>343</v>
      </c>
      <c r="D62" s="202">
        <v>852332.44000000029</v>
      </c>
      <c r="H62" s="13"/>
      <c r="I62" s="94"/>
      <c r="J62" s="198">
        <f t="shared" si="17"/>
        <v>2025.07</v>
      </c>
      <c r="K62" s="194">
        <f t="shared" si="68"/>
        <v>2025</v>
      </c>
      <c r="L62" s="194">
        <v>7</v>
      </c>
      <c r="M62" s="195" t="s">
        <v>343</v>
      </c>
      <c r="N62" s="203">
        <f t="shared" si="62"/>
        <v>852332.44000000029</v>
      </c>
      <c r="O62" s="203">
        <f t="shared" si="56"/>
        <v>42616.62</v>
      </c>
      <c r="P62" s="203">
        <f t="shared" si="57"/>
        <v>809715.8200000003</v>
      </c>
      <c r="Q62" s="203">
        <f t="shared" si="58"/>
        <v>7102.77</v>
      </c>
      <c r="R62" s="194">
        <f t="shared" si="63"/>
        <v>2035</v>
      </c>
      <c r="S62" s="194">
        <f t="shared" si="64"/>
        <v>6</v>
      </c>
      <c r="T62" s="174">
        <f t="shared" si="71"/>
        <v>0</v>
      </c>
      <c r="U62" s="174">
        <f t="shared" si="71"/>
        <v>0</v>
      </c>
      <c r="V62" s="174">
        <f t="shared" si="71"/>
        <v>0</v>
      </c>
      <c r="W62" s="174">
        <f t="shared" si="71"/>
        <v>0</v>
      </c>
      <c r="X62" s="174">
        <f t="shared" si="71"/>
        <v>0</v>
      </c>
      <c r="Y62" s="174">
        <f t="shared" si="71"/>
        <v>0</v>
      </c>
      <c r="Z62" s="174">
        <f t="shared" si="71"/>
        <v>7102.77</v>
      </c>
      <c r="AA62" s="174">
        <f t="shared" si="71"/>
        <v>7102.77</v>
      </c>
      <c r="AB62" s="174">
        <f t="shared" si="71"/>
        <v>7102.77</v>
      </c>
      <c r="AC62" s="174">
        <f t="shared" si="71"/>
        <v>7102.77</v>
      </c>
      <c r="AD62" s="174">
        <f t="shared" si="71"/>
        <v>7102.77</v>
      </c>
      <c r="AE62" s="174">
        <f t="shared" si="71"/>
        <v>7102.77</v>
      </c>
      <c r="AF62" s="174">
        <f t="shared" si="59"/>
        <v>42616.62000000001</v>
      </c>
      <c r="AG62" s="14">
        <f t="shared" si="69"/>
        <v>7102.77</v>
      </c>
      <c r="AH62" s="6">
        <f t="shared" si="65"/>
        <v>7102.77</v>
      </c>
      <c r="AI62" s="6">
        <f t="shared" ref="AI62" si="75">AH62</f>
        <v>7102.77</v>
      </c>
      <c r="EW62" s="14">
        <f t="shared" si="14"/>
        <v>63924.930000000008</v>
      </c>
      <c r="EX62" s="14">
        <f t="shared" si="15"/>
        <v>-788407.51000000024</v>
      </c>
    </row>
    <row r="63" spans="1:154" x14ac:dyDescent="0.35">
      <c r="A63" s="194">
        <f t="shared" si="67"/>
        <v>2025</v>
      </c>
      <c r="B63" s="194">
        <v>8</v>
      </c>
      <c r="C63" s="195" t="s">
        <v>526</v>
      </c>
      <c r="D63" s="202">
        <v>-1355063.6599999997</v>
      </c>
      <c r="H63" s="13"/>
      <c r="I63" s="94"/>
      <c r="J63" s="198">
        <f t="shared" si="17"/>
        <v>2025.08</v>
      </c>
      <c r="K63" s="194">
        <f t="shared" si="68"/>
        <v>2025</v>
      </c>
      <c r="L63" s="194">
        <v>8</v>
      </c>
      <c r="M63" s="195" t="s">
        <v>526</v>
      </c>
      <c r="N63" s="203">
        <f t="shared" si="62"/>
        <v>-1355063.6599999997</v>
      </c>
      <c r="O63" s="203">
        <f t="shared" si="56"/>
        <v>-56461</v>
      </c>
      <c r="P63" s="203">
        <f t="shared" si="57"/>
        <v>-1298602.6599999997</v>
      </c>
      <c r="Q63" s="203">
        <f t="shared" si="58"/>
        <v>-11292.2</v>
      </c>
      <c r="R63" s="194">
        <f t="shared" si="63"/>
        <v>2035</v>
      </c>
      <c r="S63" s="194">
        <f t="shared" si="64"/>
        <v>7</v>
      </c>
      <c r="T63" s="174">
        <f t="shared" si="71"/>
        <v>0</v>
      </c>
      <c r="U63" s="174">
        <f t="shared" si="71"/>
        <v>0</v>
      </c>
      <c r="V63" s="174">
        <f t="shared" si="71"/>
        <v>0</v>
      </c>
      <c r="W63" s="174">
        <f t="shared" si="71"/>
        <v>0</v>
      </c>
      <c r="X63" s="174">
        <f t="shared" si="71"/>
        <v>0</v>
      </c>
      <c r="Y63" s="174">
        <f t="shared" si="71"/>
        <v>0</v>
      </c>
      <c r="Z63" s="174">
        <f t="shared" si="71"/>
        <v>0</v>
      </c>
      <c r="AA63" s="174">
        <f t="shared" si="71"/>
        <v>-11292.2</v>
      </c>
      <c r="AB63" s="174">
        <f t="shared" si="71"/>
        <v>-11292.2</v>
      </c>
      <c r="AC63" s="174">
        <f t="shared" si="71"/>
        <v>-11292.2</v>
      </c>
      <c r="AD63" s="174">
        <f t="shared" si="71"/>
        <v>-11292.2</v>
      </c>
      <c r="AE63" s="174">
        <f t="shared" si="71"/>
        <v>-11292.2</v>
      </c>
      <c r="AF63" s="174">
        <f t="shared" si="59"/>
        <v>-56461</v>
      </c>
      <c r="AG63" s="14">
        <f t="shared" si="69"/>
        <v>-11292.2</v>
      </c>
      <c r="AH63" s="6">
        <f t="shared" si="65"/>
        <v>-11292.2</v>
      </c>
      <c r="AI63" s="6">
        <f t="shared" ref="AI63" si="76">AH63</f>
        <v>-11292.2</v>
      </c>
      <c r="EW63" s="14">
        <f t="shared" si="14"/>
        <v>-90337.600000000006</v>
      </c>
      <c r="EX63" s="14">
        <f t="shared" si="15"/>
        <v>1264726.0599999996</v>
      </c>
    </row>
    <row r="64" spans="1:154" x14ac:dyDescent="0.35">
      <c r="A64" s="194">
        <f t="shared" si="67"/>
        <v>2025</v>
      </c>
      <c r="B64" s="194">
        <v>9</v>
      </c>
      <c r="C64" s="195" t="s">
        <v>527</v>
      </c>
      <c r="D64" s="202">
        <v>-7613661.2999999998</v>
      </c>
      <c r="H64" s="13"/>
      <c r="I64" s="94"/>
      <c r="J64" s="198">
        <f t="shared" si="17"/>
        <v>2025.09</v>
      </c>
      <c r="K64" s="194">
        <f t="shared" si="68"/>
        <v>2025</v>
      </c>
      <c r="L64" s="194">
        <v>9</v>
      </c>
      <c r="M64" s="195" t="s">
        <v>527</v>
      </c>
      <c r="N64" s="203">
        <f t="shared" si="62"/>
        <v>-7613661.2999999998</v>
      </c>
      <c r="O64" s="203">
        <f t="shared" si="56"/>
        <v>-253788.72</v>
      </c>
      <c r="P64" s="203">
        <f t="shared" si="57"/>
        <v>-7359872.5800000001</v>
      </c>
      <c r="Q64" s="203">
        <f t="shared" si="58"/>
        <v>-63447.18</v>
      </c>
      <c r="R64" s="194">
        <f t="shared" si="63"/>
        <v>2035</v>
      </c>
      <c r="S64" s="194">
        <f t="shared" si="64"/>
        <v>8</v>
      </c>
      <c r="T64" s="174">
        <f t="shared" si="71"/>
        <v>0</v>
      </c>
      <c r="U64" s="174">
        <f t="shared" si="71"/>
        <v>0</v>
      </c>
      <c r="V64" s="174">
        <f t="shared" si="71"/>
        <v>0</v>
      </c>
      <c r="W64" s="174">
        <f t="shared" si="71"/>
        <v>0</v>
      </c>
      <c r="X64" s="174">
        <f t="shared" si="71"/>
        <v>0</v>
      </c>
      <c r="Y64" s="174">
        <f t="shared" si="71"/>
        <v>0</v>
      </c>
      <c r="Z64" s="174">
        <f t="shared" si="71"/>
        <v>0</v>
      </c>
      <c r="AA64" s="174">
        <f t="shared" si="71"/>
        <v>0</v>
      </c>
      <c r="AB64" s="174">
        <f t="shared" si="71"/>
        <v>-63447.18</v>
      </c>
      <c r="AC64" s="174">
        <f t="shared" si="71"/>
        <v>-63447.18</v>
      </c>
      <c r="AD64" s="174">
        <f t="shared" si="71"/>
        <v>-63447.18</v>
      </c>
      <c r="AE64" s="174">
        <f t="shared" si="71"/>
        <v>-63447.18</v>
      </c>
      <c r="AF64" s="174">
        <f t="shared" si="59"/>
        <v>-253788.72</v>
      </c>
      <c r="AG64" s="14">
        <f>AE64</f>
        <v>-63447.18</v>
      </c>
      <c r="AH64" s="14">
        <f>AG64</f>
        <v>-63447.18</v>
      </c>
      <c r="AI64" s="6">
        <f t="shared" ref="AI64:CT64" si="77">AH64</f>
        <v>-63447.18</v>
      </c>
      <c r="AJ64" s="14">
        <f t="shared" si="77"/>
        <v>-63447.18</v>
      </c>
      <c r="AK64" s="14">
        <f t="shared" si="77"/>
        <v>-63447.18</v>
      </c>
      <c r="AL64" s="14">
        <f t="shared" si="77"/>
        <v>-63447.18</v>
      </c>
      <c r="AM64" s="14">
        <f t="shared" si="77"/>
        <v>-63447.18</v>
      </c>
      <c r="AN64" s="14">
        <f t="shared" si="77"/>
        <v>-63447.18</v>
      </c>
      <c r="AO64" s="14">
        <f t="shared" si="77"/>
        <v>-63447.18</v>
      </c>
      <c r="AP64" s="14">
        <f t="shared" si="77"/>
        <v>-63447.18</v>
      </c>
      <c r="AQ64" s="14">
        <f t="shared" si="77"/>
        <v>-63447.18</v>
      </c>
      <c r="AR64" s="14">
        <f t="shared" si="77"/>
        <v>-63447.18</v>
      </c>
      <c r="AS64" s="14">
        <f t="shared" si="77"/>
        <v>-63447.18</v>
      </c>
      <c r="AT64" s="14">
        <f t="shared" si="77"/>
        <v>-63447.18</v>
      </c>
      <c r="AU64" s="14">
        <f t="shared" si="77"/>
        <v>-63447.18</v>
      </c>
      <c r="AV64" s="14">
        <f t="shared" si="77"/>
        <v>-63447.18</v>
      </c>
      <c r="AW64" s="14">
        <f t="shared" si="77"/>
        <v>-63447.18</v>
      </c>
      <c r="AX64" s="14">
        <f t="shared" si="77"/>
        <v>-63447.18</v>
      </c>
      <c r="AY64" s="14">
        <f t="shared" si="77"/>
        <v>-63447.18</v>
      </c>
      <c r="AZ64" s="14">
        <f t="shared" si="77"/>
        <v>-63447.18</v>
      </c>
      <c r="BA64" s="14">
        <f t="shared" si="77"/>
        <v>-63447.18</v>
      </c>
      <c r="BB64" s="14">
        <f t="shared" si="77"/>
        <v>-63447.18</v>
      </c>
      <c r="BC64" s="14">
        <f t="shared" si="77"/>
        <v>-63447.18</v>
      </c>
      <c r="BD64" s="14">
        <f t="shared" si="77"/>
        <v>-63447.18</v>
      </c>
      <c r="BE64" s="14">
        <f t="shared" si="77"/>
        <v>-63447.18</v>
      </c>
      <c r="BF64" s="14">
        <f t="shared" si="77"/>
        <v>-63447.18</v>
      </c>
      <c r="BG64" s="14">
        <f t="shared" si="77"/>
        <v>-63447.18</v>
      </c>
      <c r="BH64" s="14">
        <f t="shared" si="77"/>
        <v>-63447.18</v>
      </c>
      <c r="BI64" s="14">
        <f t="shared" si="77"/>
        <v>-63447.18</v>
      </c>
      <c r="BJ64" s="14">
        <f t="shared" si="77"/>
        <v>-63447.18</v>
      </c>
      <c r="BK64" s="14">
        <f t="shared" si="77"/>
        <v>-63447.18</v>
      </c>
      <c r="BL64" s="14">
        <f t="shared" si="77"/>
        <v>-63447.18</v>
      </c>
      <c r="BM64" s="14">
        <f t="shared" si="77"/>
        <v>-63447.18</v>
      </c>
      <c r="BN64" s="14">
        <f t="shared" si="77"/>
        <v>-63447.18</v>
      </c>
      <c r="BO64" s="14">
        <f t="shared" si="77"/>
        <v>-63447.18</v>
      </c>
      <c r="BP64" s="14">
        <f t="shared" si="77"/>
        <v>-63447.18</v>
      </c>
      <c r="BQ64" s="14">
        <f t="shared" si="77"/>
        <v>-63447.18</v>
      </c>
      <c r="BR64" s="14">
        <f t="shared" si="77"/>
        <v>-63447.18</v>
      </c>
      <c r="BS64" s="14">
        <f t="shared" si="77"/>
        <v>-63447.18</v>
      </c>
      <c r="BT64" s="14">
        <f t="shared" si="77"/>
        <v>-63447.18</v>
      </c>
      <c r="BU64" s="14">
        <f t="shared" si="77"/>
        <v>-63447.18</v>
      </c>
      <c r="BV64" s="14">
        <f t="shared" si="77"/>
        <v>-63447.18</v>
      </c>
      <c r="BW64" s="14">
        <f t="shared" si="77"/>
        <v>-63447.18</v>
      </c>
      <c r="BX64" s="14">
        <f t="shared" si="77"/>
        <v>-63447.18</v>
      </c>
      <c r="BY64" s="14">
        <f t="shared" si="77"/>
        <v>-63447.18</v>
      </c>
      <c r="BZ64" s="14">
        <f t="shared" si="77"/>
        <v>-63447.18</v>
      </c>
      <c r="CA64" s="14">
        <f t="shared" si="77"/>
        <v>-63447.18</v>
      </c>
      <c r="CB64" s="14">
        <f t="shared" si="77"/>
        <v>-63447.18</v>
      </c>
      <c r="CC64" s="14">
        <f t="shared" si="77"/>
        <v>-63447.18</v>
      </c>
      <c r="CD64" s="14">
        <f t="shared" si="77"/>
        <v>-63447.18</v>
      </c>
      <c r="CE64" s="14">
        <f t="shared" si="77"/>
        <v>-63447.18</v>
      </c>
      <c r="CF64" s="14">
        <f t="shared" si="77"/>
        <v>-63447.18</v>
      </c>
      <c r="CG64" s="14">
        <f t="shared" si="77"/>
        <v>-63447.18</v>
      </c>
      <c r="CH64" s="14">
        <f t="shared" si="77"/>
        <v>-63447.18</v>
      </c>
      <c r="CI64" s="14">
        <f t="shared" si="77"/>
        <v>-63447.18</v>
      </c>
      <c r="CJ64" s="14">
        <f t="shared" si="77"/>
        <v>-63447.18</v>
      </c>
      <c r="CK64" s="14">
        <f t="shared" si="77"/>
        <v>-63447.18</v>
      </c>
      <c r="CL64" s="14">
        <f t="shared" si="77"/>
        <v>-63447.18</v>
      </c>
      <c r="CM64" s="14">
        <f t="shared" si="77"/>
        <v>-63447.18</v>
      </c>
      <c r="CN64" s="14">
        <f t="shared" si="77"/>
        <v>-63447.18</v>
      </c>
      <c r="CO64" s="14">
        <f t="shared" si="77"/>
        <v>-63447.18</v>
      </c>
      <c r="CP64" s="14">
        <f t="shared" si="77"/>
        <v>-63447.18</v>
      </c>
      <c r="CQ64" s="14">
        <f t="shared" si="77"/>
        <v>-63447.18</v>
      </c>
      <c r="CR64" s="14">
        <f t="shared" si="77"/>
        <v>-63447.18</v>
      </c>
      <c r="CS64" s="14">
        <f t="shared" si="77"/>
        <v>-63447.18</v>
      </c>
      <c r="CT64" s="14">
        <f t="shared" si="77"/>
        <v>-63447.18</v>
      </c>
      <c r="CU64" s="14">
        <f t="shared" ref="CU64:ES64" si="78">CT64</f>
        <v>-63447.18</v>
      </c>
      <c r="CV64" s="14">
        <f t="shared" si="78"/>
        <v>-63447.18</v>
      </c>
      <c r="CW64" s="14">
        <f t="shared" si="78"/>
        <v>-63447.18</v>
      </c>
      <c r="CX64" s="14">
        <f t="shared" si="78"/>
        <v>-63447.18</v>
      </c>
      <c r="CY64" s="14">
        <f t="shared" si="78"/>
        <v>-63447.18</v>
      </c>
      <c r="CZ64" s="14">
        <f t="shared" si="78"/>
        <v>-63447.18</v>
      </c>
      <c r="DA64" s="14">
        <f t="shared" si="78"/>
        <v>-63447.18</v>
      </c>
      <c r="DB64" s="14">
        <f t="shared" si="78"/>
        <v>-63447.18</v>
      </c>
      <c r="DC64" s="14">
        <f t="shared" si="78"/>
        <v>-63447.18</v>
      </c>
      <c r="DD64" s="14">
        <f t="shared" si="78"/>
        <v>-63447.18</v>
      </c>
      <c r="DE64" s="14">
        <f t="shared" si="78"/>
        <v>-63447.18</v>
      </c>
      <c r="DF64" s="14">
        <f t="shared" si="78"/>
        <v>-63447.18</v>
      </c>
      <c r="DG64" s="14">
        <f t="shared" si="78"/>
        <v>-63447.18</v>
      </c>
      <c r="DH64" s="14">
        <f t="shared" si="78"/>
        <v>-63447.18</v>
      </c>
      <c r="DI64" s="14">
        <f t="shared" si="78"/>
        <v>-63447.18</v>
      </c>
      <c r="DJ64" s="14">
        <f t="shared" si="78"/>
        <v>-63447.18</v>
      </c>
      <c r="DK64" s="14">
        <f t="shared" si="78"/>
        <v>-63447.18</v>
      </c>
      <c r="DL64" s="14">
        <f t="shared" si="78"/>
        <v>-63447.18</v>
      </c>
      <c r="DM64" s="14">
        <f t="shared" si="78"/>
        <v>-63447.18</v>
      </c>
      <c r="DN64" s="12">
        <f t="shared" si="78"/>
        <v>-63447.18</v>
      </c>
      <c r="DO64" s="12">
        <f t="shared" si="78"/>
        <v>-63447.18</v>
      </c>
      <c r="DP64" s="12">
        <f t="shared" si="78"/>
        <v>-63447.18</v>
      </c>
      <c r="DQ64" s="12">
        <f t="shared" si="78"/>
        <v>-63447.18</v>
      </c>
      <c r="DR64" s="12">
        <f t="shared" si="78"/>
        <v>-63447.18</v>
      </c>
      <c r="DS64" s="12">
        <f t="shared" si="78"/>
        <v>-63447.18</v>
      </c>
      <c r="DT64" s="12">
        <f t="shared" si="78"/>
        <v>-63447.18</v>
      </c>
      <c r="DU64" s="12">
        <f t="shared" si="78"/>
        <v>-63447.18</v>
      </c>
      <c r="DV64" s="12">
        <f t="shared" si="78"/>
        <v>-63447.18</v>
      </c>
      <c r="DW64" s="12">
        <f t="shared" si="78"/>
        <v>-63447.18</v>
      </c>
      <c r="DX64" s="12">
        <f t="shared" si="78"/>
        <v>-63447.18</v>
      </c>
      <c r="DY64" s="12">
        <f t="shared" si="78"/>
        <v>-63447.18</v>
      </c>
      <c r="DZ64" s="12">
        <f t="shared" si="78"/>
        <v>-63447.18</v>
      </c>
      <c r="EA64" s="12">
        <f t="shared" si="78"/>
        <v>-63447.18</v>
      </c>
      <c r="EB64" s="12">
        <f t="shared" si="78"/>
        <v>-63447.18</v>
      </c>
      <c r="EC64" s="12">
        <f t="shared" si="78"/>
        <v>-63447.18</v>
      </c>
      <c r="ED64" s="12">
        <f t="shared" si="78"/>
        <v>-63447.18</v>
      </c>
      <c r="EE64" s="12">
        <f t="shared" si="78"/>
        <v>-63447.18</v>
      </c>
      <c r="EF64" s="12">
        <f t="shared" si="78"/>
        <v>-63447.18</v>
      </c>
      <c r="EG64" s="12">
        <f t="shared" si="78"/>
        <v>-63447.18</v>
      </c>
      <c r="EH64" s="12">
        <f t="shared" si="78"/>
        <v>-63447.18</v>
      </c>
      <c r="EI64" s="12">
        <f t="shared" si="78"/>
        <v>-63447.18</v>
      </c>
      <c r="EJ64" s="12">
        <f t="shared" si="78"/>
        <v>-63447.18</v>
      </c>
      <c r="EK64" s="12">
        <f t="shared" si="78"/>
        <v>-63447.18</v>
      </c>
      <c r="EL64" s="12">
        <f t="shared" si="78"/>
        <v>-63447.18</v>
      </c>
      <c r="EM64" s="12">
        <f t="shared" si="78"/>
        <v>-63447.18</v>
      </c>
      <c r="EN64" s="12">
        <f t="shared" si="78"/>
        <v>-63447.18</v>
      </c>
      <c r="EO64" s="12">
        <f t="shared" si="78"/>
        <v>-63447.18</v>
      </c>
      <c r="EP64" s="12">
        <f t="shared" si="78"/>
        <v>-63447.18</v>
      </c>
      <c r="EQ64" s="12">
        <f t="shared" si="78"/>
        <v>-63447.18</v>
      </c>
      <c r="ER64" s="12">
        <f t="shared" si="78"/>
        <v>-63447.18</v>
      </c>
      <c r="ES64" s="12">
        <f t="shared" si="78"/>
        <v>-63447.18</v>
      </c>
      <c r="ET64" s="14"/>
      <c r="EW64" s="14">
        <f t="shared" si="14"/>
        <v>-7677108.7799999891</v>
      </c>
      <c r="EX64" s="14">
        <f t="shared" si="15"/>
        <v>-63447.479999989271</v>
      </c>
    </row>
    <row r="65" spans="1:154" x14ac:dyDescent="0.35">
      <c r="A65" s="194">
        <f t="shared" si="67"/>
        <v>2025</v>
      </c>
      <c r="B65" s="204">
        <v>10</v>
      </c>
      <c r="C65" s="205" t="s">
        <v>528</v>
      </c>
      <c r="D65" s="202">
        <v>-8293.2200000000012</v>
      </c>
      <c r="H65" s="13"/>
      <c r="I65" s="94"/>
      <c r="J65" s="198">
        <f t="shared" si="17"/>
        <v>2025.1</v>
      </c>
      <c r="K65" s="194">
        <f t="shared" si="68"/>
        <v>2025</v>
      </c>
      <c r="L65" s="204">
        <v>10</v>
      </c>
      <c r="M65" s="205" t="s">
        <v>528</v>
      </c>
      <c r="N65" s="203">
        <f t="shared" si="62"/>
        <v>-8293.2200000000012</v>
      </c>
      <c r="O65" s="203">
        <f t="shared" si="56"/>
        <v>-207.32999999999998</v>
      </c>
      <c r="P65" s="203">
        <f t="shared" si="57"/>
        <v>-8085.8900000000012</v>
      </c>
      <c r="Q65" s="203">
        <f t="shared" si="58"/>
        <v>-69.11</v>
      </c>
      <c r="R65" s="194">
        <f t="shared" si="63"/>
        <v>2035</v>
      </c>
      <c r="S65" s="194">
        <f t="shared" si="64"/>
        <v>9</v>
      </c>
      <c r="T65" s="174">
        <f t="shared" si="71"/>
        <v>0</v>
      </c>
      <c r="U65" s="174">
        <f t="shared" si="71"/>
        <v>0</v>
      </c>
      <c r="V65" s="174">
        <f t="shared" si="71"/>
        <v>0</v>
      </c>
      <c r="W65" s="174">
        <f t="shared" si="71"/>
        <v>0</v>
      </c>
      <c r="X65" s="174">
        <f t="shared" si="71"/>
        <v>0</v>
      </c>
      <c r="Y65" s="174">
        <f t="shared" si="71"/>
        <v>0</v>
      </c>
      <c r="Z65" s="174">
        <f t="shared" si="71"/>
        <v>0</v>
      </c>
      <c r="AA65" s="174">
        <f t="shared" si="71"/>
        <v>0</v>
      </c>
      <c r="AB65" s="174">
        <f t="shared" si="71"/>
        <v>0</v>
      </c>
      <c r="AC65" s="174">
        <f t="shared" si="71"/>
        <v>-69.11</v>
      </c>
      <c r="AD65" s="174">
        <f t="shared" si="71"/>
        <v>-69.11</v>
      </c>
      <c r="AE65" s="174">
        <f t="shared" si="71"/>
        <v>-69.11</v>
      </c>
      <c r="AF65" s="174">
        <f t="shared" si="59"/>
        <v>-207.32999999999998</v>
      </c>
      <c r="AG65" s="14">
        <f>AE65</f>
        <v>-69.11</v>
      </c>
      <c r="AH65" s="14">
        <f>AG65</f>
        <v>-69.11</v>
      </c>
      <c r="AI65" s="6">
        <f t="shared" ref="AI65:CT65" si="79">AH65</f>
        <v>-69.11</v>
      </c>
      <c r="AJ65" s="14">
        <f t="shared" si="79"/>
        <v>-69.11</v>
      </c>
      <c r="AK65" s="14">
        <f t="shared" si="79"/>
        <v>-69.11</v>
      </c>
      <c r="AL65" s="14">
        <f t="shared" si="79"/>
        <v>-69.11</v>
      </c>
      <c r="AM65" s="14">
        <f t="shared" si="79"/>
        <v>-69.11</v>
      </c>
      <c r="AN65" s="14">
        <f t="shared" si="79"/>
        <v>-69.11</v>
      </c>
      <c r="AO65" s="14">
        <f t="shared" si="79"/>
        <v>-69.11</v>
      </c>
      <c r="AP65" s="14">
        <f t="shared" si="79"/>
        <v>-69.11</v>
      </c>
      <c r="AQ65" s="14">
        <f t="shared" si="79"/>
        <v>-69.11</v>
      </c>
      <c r="AR65" s="14">
        <f t="shared" si="79"/>
        <v>-69.11</v>
      </c>
      <c r="AS65" s="14">
        <f t="shared" si="79"/>
        <v>-69.11</v>
      </c>
      <c r="AT65" s="14">
        <f t="shared" si="79"/>
        <v>-69.11</v>
      </c>
      <c r="AU65" s="14">
        <f t="shared" si="79"/>
        <v>-69.11</v>
      </c>
      <c r="AV65" s="14">
        <f t="shared" si="79"/>
        <v>-69.11</v>
      </c>
      <c r="AW65" s="14">
        <f t="shared" si="79"/>
        <v>-69.11</v>
      </c>
      <c r="AX65" s="14">
        <f t="shared" si="79"/>
        <v>-69.11</v>
      </c>
      <c r="AY65" s="14">
        <f t="shared" si="79"/>
        <v>-69.11</v>
      </c>
      <c r="AZ65" s="14">
        <f t="shared" si="79"/>
        <v>-69.11</v>
      </c>
      <c r="BA65" s="14">
        <f t="shared" si="79"/>
        <v>-69.11</v>
      </c>
      <c r="BB65" s="14">
        <f t="shared" si="79"/>
        <v>-69.11</v>
      </c>
      <c r="BC65" s="14">
        <f t="shared" si="79"/>
        <v>-69.11</v>
      </c>
      <c r="BD65" s="14">
        <f t="shared" si="79"/>
        <v>-69.11</v>
      </c>
      <c r="BE65" s="14">
        <f t="shared" si="79"/>
        <v>-69.11</v>
      </c>
      <c r="BF65" s="14">
        <f t="shared" si="79"/>
        <v>-69.11</v>
      </c>
      <c r="BG65" s="14">
        <f t="shared" si="79"/>
        <v>-69.11</v>
      </c>
      <c r="BH65" s="14">
        <f t="shared" si="79"/>
        <v>-69.11</v>
      </c>
      <c r="BI65" s="14">
        <f t="shared" si="79"/>
        <v>-69.11</v>
      </c>
      <c r="BJ65" s="14">
        <f t="shared" si="79"/>
        <v>-69.11</v>
      </c>
      <c r="BK65" s="14">
        <f t="shared" si="79"/>
        <v>-69.11</v>
      </c>
      <c r="BL65" s="14">
        <f t="shared" si="79"/>
        <v>-69.11</v>
      </c>
      <c r="BM65" s="14">
        <f t="shared" si="79"/>
        <v>-69.11</v>
      </c>
      <c r="BN65" s="14">
        <f t="shared" si="79"/>
        <v>-69.11</v>
      </c>
      <c r="BO65" s="14">
        <f t="shared" si="79"/>
        <v>-69.11</v>
      </c>
      <c r="BP65" s="14">
        <f t="shared" si="79"/>
        <v>-69.11</v>
      </c>
      <c r="BQ65" s="14">
        <f t="shared" si="79"/>
        <v>-69.11</v>
      </c>
      <c r="BR65" s="14">
        <f t="shared" si="79"/>
        <v>-69.11</v>
      </c>
      <c r="BS65" s="14">
        <f t="shared" si="79"/>
        <v>-69.11</v>
      </c>
      <c r="BT65" s="14">
        <f t="shared" si="79"/>
        <v>-69.11</v>
      </c>
      <c r="BU65" s="14">
        <f t="shared" si="79"/>
        <v>-69.11</v>
      </c>
      <c r="BV65" s="14">
        <f t="shared" si="79"/>
        <v>-69.11</v>
      </c>
      <c r="BW65" s="14">
        <f t="shared" si="79"/>
        <v>-69.11</v>
      </c>
      <c r="BX65" s="14">
        <f t="shared" si="79"/>
        <v>-69.11</v>
      </c>
      <c r="BY65" s="14">
        <f t="shared" si="79"/>
        <v>-69.11</v>
      </c>
      <c r="BZ65" s="14">
        <f t="shared" si="79"/>
        <v>-69.11</v>
      </c>
      <c r="CA65" s="14">
        <f t="shared" si="79"/>
        <v>-69.11</v>
      </c>
      <c r="CB65" s="14">
        <f t="shared" si="79"/>
        <v>-69.11</v>
      </c>
      <c r="CC65" s="14">
        <f t="shared" si="79"/>
        <v>-69.11</v>
      </c>
      <c r="CD65" s="14">
        <f t="shared" si="79"/>
        <v>-69.11</v>
      </c>
      <c r="CE65" s="14">
        <f t="shared" si="79"/>
        <v>-69.11</v>
      </c>
      <c r="CF65" s="14">
        <f t="shared" si="79"/>
        <v>-69.11</v>
      </c>
      <c r="CG65" s="14">
        <f t="shared" si="79"/>
        <v>-69.11</v>
      </c>
      <c r="CH65" s="14">
        <f t="shared" si="79"/>
        <v>-69.11</v>
      </c>
      <c r="CI65" s="14">
        <f t="shared" si="79"/>
        <v>-69.11</v>
      </c>
      <c r="CJ65" s="14">
        <f t="shared" si="79"/>
        <v>-69.11</v>
      </c>
      <c r="CK65" s="14">
        <f t="shared" si="79"/>
        <v>-69.11</v>
      </c>
      <c r="CL65" s="14">
        <f t="shared" si="79"/>
        <v>-69.11</v>
      </c>
      <c r="CM65" s="14">
        <f t="shared" si="79"/>
        <v>-69.11</v>
      </c>
      <c r="CN65" s="14">
        <f t="shared" si="79"/>
        <v>-69.11</v>
      </c>
      <c r="CO65" s="14">
        <f t="shared" si="79"/>
        <v>-69.11</v>
      </c>
      <c r="CP65" s="14">
        <f t="shared" si="79"/>
        <v>-69.11</v>
      </c>
      <c r="CQ65" s="14">
        <f t="shared" si="79"/>
        <v>-69.11</v>
      </c>
      <c r="CR65" s="14">
        <f t="shared" si="79"/>
        <v>-69.11</v>
      </c>
      <c r="CS65" s="14">
        <f t="shared" si="79"/>
        <v>-69.11</v>
      </c>
      <c r="CT65" s="14">
        <f t="shared" si="79"/>
        <v>-69.11</v>
      </c>
      <c r="CU65" s="14">
        <f t="shared" ref="CU65:ET65" si="80">CT65</f>
        <v>-69.11</v>
      </c>
      <c r="CV65" s="14">
        <f t="shared" si="80"/>
        <v>-69.11</v>
      </c>
      <c r="CW65" s="14">
        <f t="shared" si="80"/>
        <v>-69.11</v>
      </c>
      <c r="CX65" s="14">
        <f t="shared" si="80"/>
        <v>-69.11</v>
      </c>
      <c r="CY65" s="14">
        <f t="shared" si="80"/>
        <v>-69.11</v>
      </c>
      <c r="CZ65" s="14">
        <f t="shared" si="80"/>
        <v>-69.11</v>
      </c>
      <c r="DA65" s="14">
        <f t="shared" si="80"/>
        <v>-69.11</v>
      </c>
      <c r="DB65" s="14">
        <f t="shared" si="80"/>
        <v>-69.11</v>
      </c>
      <c r="DC65" s="14">
        <f t="shared" si="80"/>
        <v>-69.11</v>
      </c>
      <c r="DD65" s="14">
        <f t="shared" si="80"/>
        <v>-69.11</v>
      </c>
      <c r="DE65" s="14">
        <f t="shared" si="80"/>
        <v>-69.11</v>
      </c>
      <c r="DF65" s="14">
        <f t="shared" si="80"/>
        <v>-69.11</v>
      </c>
      <c r="DG65" s="14">
        <f t="shared" si="80"/>
        <v>-69.11</v>
      </c>
      <c r="DH65" s="14">
        <f t="shared" si="80"/>
        <v>-69.11</v>
      </c>
      <c r="DI65" s="14">
        <f t="shared" si="80"/>
        <v>-69.11</v>
      </c>
      <c r="DJ65" s="14">
        <f t="shared" si="80"/>
        <v>-69.11</v>
      </c>
      <c r="DK65" s="14">
        <f t="shared" si="80"/>
        <v>-69.11</v>
      </c>
      <c r="DL65" s="14">
        <f t="shared" si="80"/>
        <v>-69.11</v>
      </c>
      <c r="DM65" s="14">
        <f t="shared" si="80"/>
        <v>-69.11</v>
      </c>
      <c r="DN65" s="12">
        <f t="shared" si="80"/>
        <v>-69.11</v>
      </c>
      <c r="DO65" s="12">
        <f t="shared" si="80"/>
        <v>-69.11</v>
      </c>
      <c r="DP65" s="12">
        <f t="shared" si="80"/>
        <v>-69.11</v>
      </c>
      <c r="DQ65" s="12">
        <f t="shared" si="80"/>
        <v>-69.11</v>
      </c>
      <c r="DR65" s="12">
        <f t="shared" si="80"/>
        <v>-69.11</v>
      </c>
      <c r="DS65" s="12">
        <f t="shared" si="80"/>
        <v>-69.11</v>
      </c>
      <c r="DT65" s="12">
        <f t="shared" si="80"/>
        <v>-69.11</v>
      </c>
      <c r="DU65" s="12">
        <f t="shared" si="80"/>
        <v>-69.11</v>
      </c>
      <c r="DV65" s="12">
        <f t="shared" si="80"/>
        <v>-69.11</v>
      </c>
      <c r="DW65" s="12">
        <f t="shared" si="80"/>
        <v>-69.11</v>
      </c>
      <c r="DX65" s="12">
        <f t="shared" si="80"/>
        <v>-69.11</v>
      </c>
      <c r="DY65" s="12">
        <f t="shared" si="80"/>
        <v>-69.11</v>
      </c>
      <c r="DZ65" s="12">
        <f t="shared" si="80"/>
        <v>-69.11</v>
      </c>
      <c r="EA65" s="12">
        <f t="shared" si="80"/>
        <v>-69.11</v>
      </c>
      <c r="EB65" s="12">
        <f t="shared" si="80"/>
        <v>-69.11</v>
      </c>
      <c r="EC65" s="12">
        <f t="shared" si="80"/>
        <v>-69.11</v>
      </c>
      <c r="ED65" s="12">
        <f t="shared" si="80"/>
        <v>-69.11</v>
      </c>
      <c r="EE65" s="12">
        <f t="shared" si="80"/>
        <v>-69.11</v>
      </c>
      <c r="EF65" s="12">
        <f t="shared" si="80"/>
        <v>-69.11</v>
      </c>
      <c r="EG65" s="12">
        <f t="shared" si="80"/>
        <v>-69.11</v>
      </c>
      <c r="EH65" s="12">
        <f t="shared" si="80"/>
        <v>-69.11</v>
      </c>
      <c r="EI65" s="12">
        <f t="shared" si="80"/>
        <v>-69.11</v>
      </c>
      <c r="EJ65" s="12">
        <f t="shared" si="80"/>
        <v>-69.11</v>
      </c>
      <c r="EK65" s="12">
        <f t="shared" si="80"/>
        <v>-69.11</v>
      </c>
      <c r="EL65" s="12">
        <f t="shared" si="80"/>
        <v>-69.11</v>
      </c>
      <c r="EM65" s="12">
        <f t="shared" si="80"/>
        <v>-69.11</v>
      </c>
      <c r="EN65" s="12">
        <f t="shared" si="80"/>
        <v>-69.11</v>
      </c>
      <c r="EO65" s="12">
        <f t="shared" si="80"/>
        <v>-69.11</v>
      </c>
      <c r="EP65" s="12">
        <f t="shared" si="80"/>
        <v>-69.11</v>
      </c>
      <c r="EQ65" s="12">
        <f t="shared" si="80"/>
        <v>-69.11</v>
      </c>
      <c r="ER65" s="12">
        <f t="shared" si="80"/>
        <v>-69.11</v>
      </c>
      <c r="ES65" s="14">
        <f t="shared" si="80"/>
        <v>-69.11</v>
      </c>
      <c r="ET65" s="14">
        <f t="shared" si="80"/>
        <v>-69.11</v>
      </c>
      <c r="EW65" s="14">
        <f t="shared" si="14"/>
        <v>-8362.3099999999831</v>
      </c>
      <c r="EX65" s="14">
        <f t="shared" si="15"/>
        <v>-69.089999999981956</v>
      </c>
    </row>
    <row r="66" spans="1:154" x14ac:dyDescent="0.35">
      <c r="A66" s="194">
        <f t="shared" si="67"/>
        <v>2025</v>
      </c>
      <c r="B66" s="204">
        <v>11</v>
      </c>
      <c r="C66" s="205" t="s">
        <v>529</v>
      </c>
      <c r="D66" s="202">
        <v>-1174171.1399999997</v>
      </c>
      <c r="H66" s="13"/>
      <c r="I66" s="94"/>
      <c r="J66" s="198">
        <f t="shared" si="17"/>
        <v>2025.11</v>
      </c>
      <c r="K66" s="194">
        <f t="shared" si="68"/>
        <v>2025</v>
      </c>
      <c r="L66" s="204">
        <v>11</v>
      </c>
      <c r="M66" s="205" t="s">
        <v>529</v>
      </c>
      <c r="N66" s="203">
        <f t="shared" si="62"/>
        <v>-1174171.1399999997</v>
      </c>
      <c r="O66" s="203">
        <f t="shared" si="56"/>
        <v>-19569.52</v>
      </c>
      <c r="P66" s="203">
        <f t="shared" si="57"/>
        <v>-1154601.6199999996</v>
      </c>
      <c r="Q66" s="203">
        <f t="shared" si="58"/>
        <v>-9784.76</v>
      </c>
      <c r="R66" s="194">
        <f t="shared" si="63"/>
        <v>2035</v>
      </c>
      <c r="S66" s="194">
        <f t="shared" si="64"/>
        <v>10</v>
      </c>
      <c r="T66" s="174">
        <f t="shared" si="71"/>
        <v>0</v>
      </c>
      <c r="U66" s="174">
        <f t="shared" si="71"/>
        <v>0</v>
      </c>
      <c r="V66" s="174">
        <f t="shared" si="71"/>
        <v>0</v>
      </c>
      <c r="W66" s="174">
        <f t="shared" si="71"/>
        <v>0</v>
      </c>
      <c r="X66" s="174">
        <f t="shared" si="71"/>
        <v>0</v>
      </c>
      <c r="Y66" s="174">
        <f t="shared" si="71"/>
        <v>0</v>
      </c>
      <c r="Z66" s="174">
        <f t="shared" si="71"/>
        <v>0</v>
      </c>
      <c r="AA66" s="174">
        <f t="shared" si="71"/>
        <v>0</v>
      </c>
      <c r="AB66" s="174">
        <f t="shared" si="71"/>
        <v>0</v>
      </c>
      <c r="AC66" s="174">
        <f t="shared" si="71"/>
        <v>0</v>
      </c>
      <c r="AD66" s="174">
        <f t="shared" si="71"/>
        <v>-9784.76</v>
      </c>
      <c r="AE66" s="174">
        <f t="shared" si="71"/>
        <v>-9784.76</v>
      </c>
      <c r="AF66" s="174">
        <f t="shared" si="59"/>
        <v>-19569.52</v>
      </c>
      <c r="AG66" s="14">
        <f>N66/120</f>
        <v>-9784.7594999999965</v>
      </c>
      <c r="AH66" s="14">
        <f>AG66</f>
        <v>-9784.7594999999965</v>
      </c>
      <c r="AI66" s="6">
        <f t="shared" ref="AI66:CT66" si="81">AH66</f>
        <v>-9784.7594999999965</v>
      </c>
      <c r="AJ66" s="14">
        <f t="shared" si="81"/>
        <v>-9784.7594999999965</v>
      </c>
      <c r="AK66" s="14">
        <f t="shared" si="81"/>
        <v>-9784.7594999999965</v>
      </c>
      <c r="AL66" s="14">
        <f t="shared" si="81"/>
        <v>-9784.7594999999965</v>
      </c>
      <c r="AM66" s="14">
        <f t="shared" si="81"/>
        <v>-9784.7594999999965</v>
      </c>
      <c r="AN66" s="14">
        <f t="shared" si="81"/>
        <v>-9784.7594999999965</v>
      </c>
      <c r="AO66" s="14">
        <f t="shared" si="81"/>
        <v>-9784.7594999999965</v>
      </c>
      <c r="AP66" s="14">
        <f t="shared" si="81"/>
        <v>-9784.7594999999965</v>
      </c>
      <c r="AQ66" s="14">
        <f t="shared" si="81"/>
        <v>-9784.7594999999965</v>
      </c>
      <c r="AR66" s="14">
        <f t="shared" si="81"/>
        <v>-9784.7594999999965</v>
      </c>
      <c r="AS66" s="14">
        <f t="shared" si="81"/>
        <v>-9784.7594999999965</v>
      </c>
      <c r="AT66" s="14">
        <f t="shared" si="81"/>
        <v>-9784.7594999999965</v>
      </c>
      <c r="AU66" s="14">
        <f t="shared" si="81"/>
        <v>-9784.7594999999965</v>
      </c>
      <c r="AV66" s="14">
        <f t="shared" si="81"/>
        <v>-9784.7594999999965</v>
      </c>
      <c r="AW66" s="14">
        <f t="shared" si="81"/>
        <v>-9784.7594999999965</v>
      </c>
      <c r="AX66" s="14">
        <f t="shared" si="81"/>
        <v>-9784.7594999999965</v>
      </c>
      <c r="AY66" s="14">
        <f t="shared" si="81"/>
        <v>-9784.7594999999965</v>
      </c>
      <c r="AZ66" s="14">
        <f t="shared" si="81"/>
        <v>-9784.7594999999965</v>
      </c>
      <c r="BA66" s="14">
        <f t="shared" si="81"/>
        <v>-9784.7594999999965</v>
      </c>
      <c r="BB66" s="14">
        <f t="shared" si="81"/>
        <v>-9784.7594999999965</v>
      </c>
      <c r="BC66" s="14">
        <f t="shared" si="81"/>
        <v>-9784.7594999999965</v>
      </c>
      <c r="BD66" s="14">
        <f t="shared" si="81"/>
        <v>-9784.7594999999965</v>
      </c>
      <c r="BE66" s="14">
        <f t="shared" si="81"/>
        <v>-9784.7594999999965</v>
      </c>
      <c r="BF66" s="14">
        <f t="shared" si="81"/>
        <v>-9784.7594999999965</v>
      </c>
      <c r="BG66" s="14">
        <f t="shared" si="81"/>
        <v>-9784.7594999999965</v>
      </c>
      <c r="BH66" s="14">
        <f t="shared" si="81"/>
        <v>-9784.7594999999965</v>
      </c>
      <c r="BI66" s="14">
        <f t="shared" si="81"/>
        <v>-9784.7594999999965</v>
      </c>
      <c r="BJ66" s="14">
        <f t="shared" si="81"/>
        <v>-9784.7594999999965</v>
      </c>
      <c r="BK66" s="14">
        <f t="shared" si="81"/>
        <v>-9784.7594999999965</v>
      </c>
      <c r="BL66" s="14">
        <f t="shared" si="81"/>
        <v>-9784.7594999999965</v>
      </c>
      <c r="BM66" s="14">
        <f t="shared" si="81"/>
        <v>-9784.7594999999965</v>
      </c>
      <c r="BN66" s="14">
        <f t="shared" si="81"/>
        <v>-9784.7594999999965</v>
      </c>
      <c r="BO66" s="14">
        <f t="shared" si="81"/>
        <v>-9784.7594999999965</v>
      </c>
      <c r="BP66" s="14">
        <f t="shared" si="81"/>
        <v>-9784.7594999999965</v>
      </c>
      <c r="BQ66" s="14">
        <f t="shared" si="81"/>
        <v>-9784.7594999999965</v>
      </c>
      <c r="BR66" s="14">
        <f t="shared" si="81"/>
        <v>-9784.7594999999965</v>
      </c>
      <c r="BS66" s="14">
        <f t="shared" si="81"/>
        <v>-9784.7594999999965</v>
      </c>
      <c r="BT66" s="14">
        <f t="shared" si="81"/>
        <v>-9784.7594999999965</v>
      </c>
      <c r="BU66" s="14">
        <f t="shared" si="81"/>
        <v>-9784.7594999999965</v>
      </c>
      <c r="BV66" s="14">
        <f t="shared" si="81"/>
        <v>-9784.7594999999965</v>
      </c>
      <c r="BW66" s="14">
        <f t="shared" si="81"/>
        <v>-9784.7594999999965</v>
      </c>
      <c r="BX66" s="14">
        <f t="shared" si="81"/>
        <v>-9784.7594999999965</v>
      </c>
      <c r="BY66" s="14">
        <f t="shared" si="81"/>
        <v>-9784.7594999999965</v>
      </c>
      <c r="BZ66" s="14">
        <f t="shared" si="81"/>
        <v>-9784.7594999999965</v>
      </c>
      <c r="CA66" s="14">
        <f t="shared" si="81"/>
        <v>-9784.7594999999965</v>
      </c>
      <c r="CB66" s="14">
        <f t="shared" si="81"/>
        <v>-9784.7594999999965</v>
      </c>
      <c r="CC66" s="14">
        <f t="shared" si="81"/>
        <v>-9784.7594999999965</v>
      </c>
      <c r="CD66" s="14">
        <f t="shared" si="81"/>
        <v>-9784.7594999999965</v>
      </c>
      <c r="CE66" s="14">
        <f t="shared" si="81"/>
        <v>-9784.7594999999965</v>
      </c>
      <c r="CF66" s="12">
        <f t="shared" si="81"/>
        <v>-9784.7594999999965</v>
      </c>
      <c r="CG66" s="12">
        <f t="shared" si="81"/>
        <v>-9784.7594999999965</v>
      </c>
      <c r="CH66" s="12">
        <f t="shared" si="81"/>
        <v>-9784.7594999999965</v>
      </c>
      <c r="CI66" s="12">
        <f t="shared" si="81"/>
        <v>-9784.7594999999965</v>
      </c>
      <c r="CJ66" s="12">
        <f t="shared" si="81"/>
        <v>-9784.7594999999965</v>
      </c>
      <c r="CK66" s="12">
        <f t="shared" si="81"/>
        <v>-9784.7594999999965</v>
      </c>
      <c r="CL66" s="12">
        <f t="shared" si="81"/>
        <v>-9784.7594999999965</v>
      </c>
      <c r="CM66" s="12">
        <f t="shared" si="81"/>
        <v>-9784.7594999999965</v>
      </c>
      <c r="CN66" s="12">
        <f t="shared" si="81"/>
        <v>-9784.7594999999965</v>
      </c>
      <c r="CO66" s="12">
        <f t="shared" si="81"/>
        <v>-9784.7594999999965</v>
      </c>
      <c r="CP66" s="12">
        <f t="shared" si="81"/>
        <v>-9784.7594999999965</v>
      </c>
      <c r="CQ66" s="12">
        <f t="shared" si="81"/>
        <v>-9784.7594999999965</v>
      </c>
      <c r="CR66" s="12">
        <f t="shared" si="81"/>
        <v>-9784.7594999999965</v>
      </c>
      <c r="CS66" s="12">
        <f t="shared" si="81"/>
        <v>-9784.7594999999965</v>
      </c>
      <c r="CT66" s="12">
        <f t="shared" si="81"/>
        <v>-9784.7594999999965</v>
      </c>
      <c r="CU66" s="12">
        <f t="shared" ref="CU66:ET66" si="82">CT66</f>
        <v>-9784.7594999999965</v>
      </c>
      <c r="CV66" s="12">
        <f t="shared" si="82"/>
        <v>-9784.7594999999965</v>
      </c>
      <c r="CW66" s="12">
        <f t="shared" si="82"/>
        <v>-9784.7594999999965</v>
      </c>
      <c r="CX66" s="12">
        <f t="shared" si="82"/>
        <v>-9784.7594999999965</v>
      </c>
      <c r="CY66" s="12">
        <f t="shared" si="82"/>
        <v>-9784.7594999999965</v>
      </c>
      <c r="CZ66" s="12">
        <f t="shared" si="82"/>
        <v>-9784.7594999999965</v>
      </c>
      <c r="DA66" s="12">
        <f t="shared" si="82"/>
        <v>-9784.7594999999965</v>
      </c>
      <c r="DB66" s="12">
        <f t="shared" si="82"/>
        <v>-9784.7594999999965</v>
      </c>
      <c r="DC66" s="12">
        <f t="shared" si="82"/>
        <v>-9784.7594999999965</v>
      </c>
      <c r="DD66" s="12">
        <f t="shared" si="82"/>
        <v>-9784.7594999999965</v>
      </c>
      <c r="DE66" s="12">
        <f t="shared" si="82"/>
        <v>-9784.7594999999965</v>
      </c>
      <c r="DF66" s="12">
        <f t="shared" si="82"/>
        <v>-9784.7594999999965</v>
      </c>
      <c r="DG66" s="12">
        <f t="shared" si="82"/>
        <v>-9784.7594999999965</v>
      </c>
      <c r="DH66" s="12">
        <f t="shared" si="82"/>
        <v>-9784.7594999999965</v>
      </c>
      <c r="DI66" s="12">
        <f t="shared" si="82"/>
        <v>-9784.7594999999965</v>
      </c>
      <c r="DJ66" s="12">
        <f t="shared" si="82"/>
        <v>-9784.7594999999965</v>
      </c>
      <c r="DK66" s="12">
        <f t="shared" si="82"/>
        <v>-9784.7594999999965</v>
      </c>
      <c r="DL66" s="12">
        <f t="shared" si="82"/>
        <v>-9784.7594999999965</v>
      </c>
      <c r="DM66" s="12">
        <f t="shared" si="82"/>
        <v>-9784.7594999999965</v>
      </c>
      <c r="DN66" s="12">
        <f t="shared" si="82"/>
        <v>-9784.7594999999965</v>
      </c>
      <c r="DO66" s="12">
        <f t="shared" si="82"/>
        <v>-9784.7594999999965</v>
      </c>
      <c r="DP66" s="12">
        <f t="shared" si="82"/>
        <v>-9784.7594999999965</v>
      </c>
      <c r="DQ66" s="12">
        <f t="shared" si="82"/>
        <v>-9784.7594999999965</v>
      </c>
      <c r="DR66" s="12">
        <f t="shared" si="82"/>
        <v>-9784.7594999999965</v>
      </c>
      <c r="DS66" s="12">
        <f t="shared" si="82"/>
        <v>-9784.7594999999965</v>
      </c>
      <c r="DT66" s="12">
        <f t="shared" si="82"/>
        <v>-9784.7594999999965</v>
      </c>
      <c r="DU66" s="12">
        <f t="shared" si="82"/>
        <v>-9784.7594999999965</v>
      </c>
      <c r="DV66" s="12">
        <f t="shared" si="82"/>
        <v>-9784.7594999999965</v>
      </c>
      <c r="DW66" s="12">
        <f t="shared" si="82"/>
        <v>-9784.7594999999965</v>
      </c>
      <c r="DX66" s="12">
        <f t="shared" si="82"/>
        <v>-9784.7594999999965</v>
      </c>
      <c r="DY66" s="12">
        <f t="shared" si="82"/>
        <v>-9784.7594999999965</v>
      </c>
      <c r="DZ66" s="12">
        <f t="shared" si="82"/>
        <v>-9784.7594999999965</v>
      </c>
      <c r="EA66" s="12">
        <f t="shared" si="82"/>
        <v>-9784.7594999999965</v>
      </c>
      <c r="EB66" s="12">
        <f t="shared" si="82"/>
        <v>-9784.7594999999965</v>
      </c>
      <c r="EC66" s="12">
        <f t="shared" si="82"/>
        <v>-9784.7594999999965</v>
      </c>
      <c r="ED66" s="12">
        <f t="shared" si="82"/>
        <v>-9784.7594999999965</v>
      </c>
      <c r="EE66" s="12">
        <f t="shared" si="82"/>
        <v>-9784.7594999999965</v>
      </c>
      <c r="EF66" s="12">
        <f t="shared" si="82"/>
        <v>-9784.7594999999965</v>
      </c>
      <c r="EG66" s="12">
        <f t="shared" si="82"/>
        <v>-9784.7594999999965</v>
      </c>
      <c r="EH66" s="12">
        <f t="shared" si="82"/>
        <v>-9784.7594999999965</v>
      </c>
      <c r="EI66" s="12">
        <f t="shared" si="82"/>
        <v>-9784.7594999999965</v>
      </c>
      <c r="EJ66" s="12">
        <f t="shared" si="82"/>
        <v>-9784.7594999999965</v>
      </c>
      <c r="EK66" s="12">
        <f t="shared" si="82"/>
        <v>-9784.7594999999965</v>
      </c>
      <c r="EL66" s="12">
        <f t="shared" si="82"/>
        <v>-9784.7594999999965</v>
      </c>
      <c r="EM66" s="12">
        <f t="shared" si="82"/>
        <v>-9784.7594999999965</v>
      </c>
      <c r="EN66" s="12">
        <f t="shared" si="82"/>
        <v>-9784.7594999999965</v>
      </c>
      <c r="EO66" s="12">
        <f t="shared" si="82"/>
        <v>-9784.7594999999965</v>
      </c>
      <c r="EP66" s="12">
        <f t="shared" si="82"/>
        <v>-9784.7594999999965</v>
      </c>
      <c r="EQ66" s="12">
        <f t="shared" si="82"/>
        <v>-9784.7594999999965</v>
      </c>
      <c r="ER66" s="12">
        <f t="shared" si="82"/>
        <v>-9784.7594999999965</v>
      </c>
      <c r="ES66" s="12">
        <f t="shared" si="82"/>
        <v>-9784.7594999999965</v>
      </c>
      <c r="ET66" s="12">
        <f t="shared" si="82"/>
        <v>-9784.7594999999965</v>
      </c>
      <c r="EU66" s="12">
        <f>ET66</f>
        <v>-9784.7594999999965</v>
      </c>
      <c r="EW66" s="14">
        <f>SUM(AG66:EV66)+O66</f>
        <v>-1183955.9005000009</v>
      </c>
      <c r="EX66" s="14">
        <f>EW66-N66</f>
        <v>-9784.7605000012554</v>
      </c>
    </row>
    <row r="67" spans="1:154" x14ac:dyDescent="0.35">
      <c r="A67" s="194">
        <f t="shared" si="67"/>
        <v>2025</v>
      </c>
      <c r="B67" s="204">
        <v>12</v>
      </c>
      <c r="C67" s="205" t="s">
        <v>523</v>
      </c>
      <c r="D67" s="202">
        <v>-756184.31</v>
      </c>
      <c r="H67" s="13"/>
      <c r="I67" s="94"/>
      <c r="J67" s="198">
        <f t="shared" si="17"/>
        <v>2025.12</v>
      </c>
      <c r="K67" s="194">
        <f t="shared" si="68"/>
        <v>2025</v>
      </c>
      <c r="L67" s="204">
        <v>12</v>
      </c>
      <c r="M67" s="205" t="s">
        <v>523</v>
      </c>
      <c r="N67" s="203">
        <f t="shared" si="62"/>
        <v>-756184.31</v>
      </c>
      <c r="O67" s="203">
        <f t="shared" si="56"/>
        <v>-6301.54</v>
      </c>
      <c r="P67" s="203">
        <f t="shared" si="57"/>
        <v>-749882.77</v>
      </c>
      <c r="Q67" s="203">
        <f t="shared" si="58"/>
        <v>-6301.54</v>
      </c>
      <c r="R67" s="194">
        <f t="shared" si="63"/>
        <v>2035</v>
      </c>
      <c r="S67" s="194">
        <f t="shared" si="64"/>
        <v>11</v>
      </c>
      <c r="T67" s="174">
        <f t="shared" si="71"/>
        <v>0</v>
      </c>
      <c r="U67" s="174">
        <f t="shared" si="71"/>
        <v>0</v>
      </c>
      <c r="V67" s="174">
        <f t="shared" si="71"/>
        <v>0</v>
      </c>
      <c r="W67" s="174">
        <f t="shared" si="71"/>
        <v>0</v>
      </c>
      <c r="X67" s="174">
        <f t="shared" si="71"/>
        <v>0</v>
      </c>
      <c r="Y67" s="174">
        <f t="shared" si="71"/>
        <v>0</v>
      </c>
      <c r="Z67" s="174">
        <f t="shared" si="71"/>
        <v>0</v>
      </c>
      <c r="AA67" s="174">
        <f t="shared" si="71"/>
        <v>0</v>
      </c>
      <c r="AB67" s="174">
        <f t="shared" si="71"/>
        <v>0</v>
      </c>
      <c r="AC67" s="174">
        <f t="shared" si="71"/>
        <v>0</v>
      </c>
      <c r="AD67" s="174">
        <f t="shared" si="71"/>
        <v>0</v>
      </c>
      <c r="AE67" s="174">
        <f t="shared" si="71"/>
        <v>-6301.54</v>
      </c>
      <c r="AF67" s="174">
        <f t="shared" si="59"/>
        <v>-6301.54</v>
      </c>
    </row>
    <row r="68" spans="1:154" x14ac:dyDescent="0.35">
      <c r="A68" s="208">
        <f>+A67</f>
        <v>2025</v>
      </c>
      <c r="B68" s="208"/>
      <c r="C68" s="209" t="s">
        <v>116</v>
      </c>
      <c r="D68" s="210">
        <f>SUM(D56:D67)</f>
        <v>28878575.550000004</v>
      </c>
      <c r="I68" s="13"/>
      <c r="J68" s="211"/>
      <c r="K68" s="208">
        <f>+K67</f>
        <v>2025</v>
      </c>
      <c r="L68" s="208"/>
      <c r="M68" s="209" t="s">
        <v>116</v>
      </c>
      <c r="N68" s="210">
        <f>SUM(N56:N67)</f>
        <v>28878575.550000004</v>
      </c>
      <c r="O68" s="210">
        <f>SUM(O56:O67)</f>
        <v>2722442.89</v>
      </c>
      <c r="P68" s="210">
        <f>SUM(P56:P67)</f>
        <v>26156132.660000011</v>
      </c>
      <c r="Q68" s="210">
        <f>SUM(Q56:Q67)</f>
        <v>240654.79</v>
      </c>
      <c r="R68" s="210"/>
      <c r="S68" s="210"/>
      <c r="T68" s="210">
        <f t="shared" ref="T68:AF68" si="83">SUM(T56:T67)</f>
        <v>23950.37</v>
      </c>
      <c r="U68" s="210">
        <f t="shared" si="83"/>
        <v>134101.14000000001</v>
      </c>
      <c r="V68" s="210">
        <f t="shared" si="83"/>
        <v>63553.940000000017</v>
      </c>
      <c r="W68" s="210">
        <f t="shared" si="83"/>
        <v>235312.81</v>
      </c>
      <c r="X68" s="210">
        <f t="shared" si="83"/>
        <v>288108.45</v>
      </c>
      <c r="Y68" s="210">
        <f t="shared" si="83"/>
        <v>324446.81</v>
      </c>
      <c r="Z68" s="210">
        <f t="shared" si="83"/>
        <v>331549.58</v>
      </c>
      <c r="AA68" s="210">
        <f t="shared" si="83"/>
        <v>320257.38</v>
      </c>
      <c r="AB68" s="210">
        <f t="shared" si="83"/>
        <v>256810.2</v>
      </c>
      <c r="AC68" s="210">
        <f t="shared" si="83"/>
        <v>256741.09000000003</v>
      </c>
      <c r="AD68" s="210">
        <f t="shared" si="83"/>
        <v>246956.33000000002</v>
      </c>
      <c r="AE68" s="210">
        <f t="shared" si="83"/>
        <v>240654.79</v>
      </c>
      <c r="AF68" s="210">
        <f t="shared" si="83"/>
        <v>2722442.89</v>
      </c>
    </row>
    <row r="69" spans="1:154" ht="29" x14ac:dyDescent="0.35">
      <c r="A69"/>
      <c r="B69"/>
      <c r="I69" s="13"/>
      <c r="J69" s="216"/>
      <c r="K69" s="216"/>
      <c r="L69" s="217"/>
      <c r="M69" s="218" t="str">
        <f>"7/2021 - "&amp;H2&amp;"/"&amp;H3</f>
        <v>7/2021 - 12/2025</v>
      </c>
      <c r="N69" s="210">
        <f>+N16+N29+N42+N55+N68</f>
        <v>230856788.93000001</v>
      </c>
      <c r="O69" s="210">
        <f>+O16+O29+O42+O55+O68</f>
        <v>43723038.240000002</v>
      </c>
      <c r="P69" s="210">
        <f>+P16+P29+P42+P55+P68</f>
        <v>187133750.69000006</v>
      </c>
      <c r="Q69" s="210">
        <f>+Q16+Q29+Q42+Q55+Q68</f>
        <v>1923806.58</v>
      </c>
      <c r="R69" s="210"/>
      <c r="S69" s="210"/>
      <c r="T69" s="210">
        <f t="shared" ref="T69:AF69" si="84">+T16+T29+T42+T55+T68</f>
        <v>1707102.1600000001</v>
      </c>
      <c r="U69" s="210">
        <f t="shared" si="84"/>
        <v>1817252.9300000002</v>
      </c>
      <c r="V69" s="210">
        <f t="shared" si="84"/>
        <v>1746705.73</v>
      </c>
      <c r="W69" s="219">
        <f t="shared" si="84"/>
        <v>1918464.6</v>
      </c>
      <c r="X69" s="210">
        <f t="shared" si="84"/>
        <v>1971260.24</v>
      </c>
      <c r="Y69" s="210">
        <f t="shared" si="84"/>
        <v>2007598.6</v>
      </c>
      <c r="Z69" s="210">
        <f t="shared" si="84"/>
        <v>2014701.37</v>
      </c>
      <c r="AA69" s="210">
        <f t="shared" si="84"/>
        <v>2003409.17</v>
      </c>
      <c r="AB69" s="210">
        <f t="shared" si="84"/>
        <v>1939961.99</v>
      </c>
      <c r="AC69" s="210">
        <f t="shared" si="84"/>
        <v>1939892.8800000001</v>
      </c>
      <c r="AD69" s="210">
        <f t="shared" si="84"/>
        <v>1930108.12</v>
      </c>
      <c r="AE69" s="210">
        <f t="shared" si="84"/>
        <v>1923806.58</v>
      </c>
      <c r="AF69" s="210">
        <f t="shared" si="84"/>
        <v>22920264.370000001</v>
      </c>
      <c r="AG69">
        <v>1</v>
      </c>
      <c r="AH69">
        <f>AG69+1</f>
        <v>2</v>
      </c>
      <c r="AI69">
        <f t="shared" ref="AI69:CT69" si="85">AH69+1</f>
        <v>3</v>
      </c>
      <c r="AJ69">
        <f t="shared" si="85"/>
        <v>4</v>
      </c>
      <c r="AK69">
        <f t="shared" si="85"/>
        <v>5</v>
      </c>
      <c r="AL69">
        <f t="shared" si="85"/>
        <v>6</v>
      </c>
      <c r="AM69">
        <f t="shared" si="85"/>
        <v>7</v>
      </c>
      <c r="AN69">
        <f t="shared" si="85"/>
        <v>8</v>
      </c>
      <c r="AO69">
        <f t="shared" si="85"/>
        <v>9</v>
      </c>
      <c r="AP69">
        <f t="shared" si="85"/>
        <v>10</v>
      </c>
      <c r="AQ69">
        <f t="shared" si="85"/>
        <v>11</v>
      </c>
      <c r="AR69">
        <f t="shared" si="85"/>
        <v>12</v>
      </c>
      <c r="AS69">
        <f t="shared" si="85"/>
        <v>13</v>
      </c>
      <c r="AT69">
        <f t="shared" si="85"/>
        <v>14</v>
      </c>
      <c r="AU69">
        <f t="shared" si="85"/>
        <v>15</v>
      </c>
      <c r="AV69">
        <f t="shared" si="85"/>
        <v>16</v>
      </c>
      <c r="AW69">
        <f t="shared" si="85"/>
        <v>17</v>
      </c>
      <c r="AX69">
        <f t="shared" si="85"/>
        <v>18</v>
      </c>
      <c r="AY69">
        <f t="shared" si="85"/>
        <v>19</v>
      </c>
      <c r="AZ69">
        <f t="shared" si="85"/>
        <v>20</v>
      </c>
      <c r="BA69">
        <f t="shared" si="85"/>
        <v>21</v>
      </c>
      <c r="BB69">
        <f t="shared" si="85"/>
        <v>22</v>
      </c>
      <c r="BC69">
        <f t="shared" si="85"/>
        <v>23</v>
      </c>
      <c r="BD69">
        <f t="shared" si="85"/>
        <v>24</v>
      </c>
      <c r="BE69">
        <f t="shared" si="85"/>
        <v>25</v>
      </c>
      <c r="BF69">
        <f t="shared" si="85"/>
        <v>26</v>
      </c>
      <c r="BG69">
        <f t="shared" si="85"/>
        <v>27</v>
      </c>
      <c r="BH69">
        <f t="shared" si="85"/>
        <v>28</v>
      </c>
      <c r="BI69">
        <f t="shared" si="85"/>
        <v>29</v>
      </c>
      <c r="BJ69">
        <f t="shared" si="85"/>
        <v>30</v>
      </c>
      <c r="BK69">
        <f t="shared" si="85"/>
        <v>31</v>
      </c>
      <c r="BL69">
        <f t="shared" si="85"/>
        <v>32</v>
      </c>
      <c r="BM69">
        <f t="shared" si="85"/>
        <v>33</v>
      </c>
      <c r="BN69">
        <f t="shared" si="85"/>
        <v>34</v>
      </c>
      <c r="BO69">
        <f t="shared" si="85"/>
        <v>35</v>
      </c>
      <c r="BP69">
        <f t="shared" si="85"/>
        <v>36</v>
      </c>
      <c r="BQ69">
        <f t="shared" si="85"/>
        <v>37</v>
      </c>
      <c r="BR69">
        <f t="shared" si="85"/>
        <v>38</v>
      </c>
      <c r="BS69">
        <f t="shared" si="85"/>
        <v>39</v>
      </c>
      <c r="BT69">
        <f t="shared" si="85"/>
        <v>40</v>
      </c>
      <c r="BU69">
        <f t="shared" si="85"/>
        <v>41</v>
      </c>
      <c r="BV69">
        <f t="shared" si="85"/>
        <v>42</v>
      </c>
      <c r="BW69">
        <f t="shared" si="85"/>
        <v>43</v>
      </c>
      <c r="BX69">
        <f t="shared" si="85"/>
        <v>44</v>
      </c>
      <c r="BY69">
        <f t="shared" si="85"/>
        <v>45</v>
      </c>
      <c r="BZ69">
        <f t="shared" si="85"/>
        <v>46</v>
      </c>
      <c r="CA69">
        <f t="shared" si="85"/>
        <v>47</v>
      </c>
      <c r="CB69">
        <f t="shared" si="85"/>
        <v>48</v>
      </c>
      <c r="CC69">
        <f t="shared" si="85"/>
        <v>49</v>
      </c>
      <c r="CD69">
        <f t="shared" si="85"/>
        <v>50</v>
      </c>
      <c r="CE69">
        <f t="shared" si="85"/>
        <v>51</v>
      </c>
      <c r="CF69">
        <f t="shared" si="85"/>
        <v>52</v>
      </c>
      <c r="CG69">
        <f t="shared" si="85"/>
        <v>53</v>
      </c>
      <c r="CH69">
        <f t="shared" si="85"/>
        <v>54</v>
      </c>
      <c r="CI69">
        <f t="shared" si="85"/>
        <v>55</v>
      </c>
      <c r="CJ69">
        <f t="shared" si="85"/>
        <v>56</v>
      </c>
      <c r="CK69">
        <f t="shared" si="85"/>
        <v>57</v>
      </c>
      <c r="CL69">
        <f t="shared" si="85"/>
        <v>58</v>
      </c>
      <c r="CM69">
        <f t="shared" si="85"/>
        <v>59</v>
      </c>
      <c r="CN69">
        <f t="shared" si="85"/>
        <v>60</v>
      </c>
      <c r="CO69">
        <f t="shared" si="85"/>
        <v>61</v>
      </c>
      <c r="CP69">
        <f t="shared" si="85"/>
        <v>62</v>
      </c>
      <c r="CQ69">
        <f t="shared" si="85"/>
        <v>63</v>
      </c>
      <c r="CR69">
        <f t="shared" si="85"/>
        <v>64</v>
      </c>
      <c r="CS69">
        <f t="shared" si="85"/>
        <v>65</v>
      </c>
      <c r="CT69">
        <f t="shared" si="85"/>
        <v>66</v>
      </c>
      <c r="CU69">
        <f t="shared" ref="CU69:EV69" si="86">CT69+1</f>
        <v>67</v>
      </c>
      <c r="CV69">
        <f t="shared" si="86"/>
        <v>68</v>
      </c>
      <c r="CW69">
        <f t="shared" si="86"/>
        <v>69</v>
      </c>
      <c r="CX69">
        <f t="shared" si="86"/>
        <v>70</v>
      </c>
      <c r="CY69">
        <f t="shared" si="86"/>
        <v>71</v>
      </c>
      <c r="CZ69">
        <f t="shared" si="86"/>
        <v>72</v>
      </c>
      <c r="DA69">
        <f t="shared" si="86"/>
        <v>73</v>
      </c>
      <c r="DB69">
        <f t="shared" si="86"/>
        <v>74</v>
      </c>
      <c r="DC69">
        <f t="shared" si="86"/>
        <v>75</v>
      </c>
      <c r="DD69">
        <f t="shared" si="86"/>
        <v>76</v>
      </c>
      <c r="DE69">
        <f t="shared" si="86"/>
        <v>77</v>
      </c>
      <c r="DF69">
        <f t="shared" si="86"/>
        <v>78</v>
      </c>
      <c r="DG69">
        <f t="shared" si="86"/>
        <v>79</v>
      </c>
      <c r="DH69">
        <f t="shared" si="86"/>
        <v>80</v>
      </c>
      <c r="DI69">
        <f t="shared" si="86"/>
        <v>81</v>
      </c>
      <c r="DJ69">
        <f t="shared" si="86"/>
        <v>82</v>
      </c>
      <c r="DK69">
        <f t="shared" si="86"/>
        <v>83</v>
      </c>
      <c r="DL69">
        <f t="shared" si="86"/>
        <v>84</v>
      </c>
      <c r="DM69">
        <f t="shared" si="86"/>
        <v>85</v>
      </c>
      <c r="DN69">
        <f t="shared" si="86"/>
        <v>86</v>
      </c>
      <c r="DO69">
        <f t="shared" si="86"/>
        <v>87</v>
      </c>
      <c r="DP69">
        <f t="shared" si="86"/>
        <v>88</v>
      </c>
      <c r="DQ69">
        <f t="shared" si="86"/>
        <v>89</v>
      </c>
      <c r="DR69">
        <f t="shared" si="86"/>
        <v>90</v>
      </c>
      <c r="DS69">
        <f t="shared" si="86"/>
        <v>91</v>
      </c>
      <c r="DT69">
        <f t="shared" si="86"/>
        <v>92</v>
      </c>
      <c r="DU69">
        <f t="shared" si="86"/>
        <v>93</v>
      </c>
      <c r="DV69">
        <f t="shared" si="86"/>
        <v>94</v>
      </c>
      <c r="DW69">
        <f t="shared" si="86"/>
        <v>95</v>
      </c>
      <c r="DX69">
        <f t="shared" si="86"/>
        <v>96</v>
      </c>
      <c r="DY69">
        <f t="shared" si="86"/>
        <v>97</v>
      </c>
      <c r="DZ69">
        <f t="shared" si="86"/>
        <v>98</v>
      </c>
      <c r="EA69">
        <f t="shared" si="86"/>
        <v>99</v>
      </c>
      <c r="EB69">
        <f t="shared" si="86"/>
        <v>100</v>
      </c>
      <c r="EC69">
        <f t="shared" si="86"/>
        <v>101</v>
      </c>
      <c r="ED69">
        <f t="shared" si="86"/>
        <v>102</v>
      </c>
      <c r="EE69">
        <f t="shared" si="86"/>
        <v>103</v>
      </c>
      <c r="EF69">
        <f t="shared" si="86"/>
        <v>104</v>
      </c>
      <c r="EG69">
        <f t="shared" si="86"/>
        <v>105</v>
      </c>
      <c r="EH69">
        <f t="shared" si="86"/>
        <v>106</v>
      </c>
      <c r="EI69">
        <f t="shared" si="86"/>
        <v>107</v>
      </c>
      <c r="EJ69">
        <f t="shared" si="86"/>
        <v>108</v>
      </c>
      <c r="EK69">
        <f t="shared" si="86"/>
        <v>109</v>
      </c>
      <c r="EL69">
        <f t="shared" si="86"/>
        <v>110</v>
      </c>
      <c r="EM69">
        <f t="shared" si="86"/>
        <v>111</v>
      </c>
      <c r="EN69">
        <f t="shared" si="86"/>
        <v>112</v>
      </c>
      <c r="EO69">
        <f t="shared" si="86"/>
        <v>113</v>
      </c>
      <c r="EP69">
        <f t="shared" si="86"/>
        <v>114</v>
      </c>
      <c r="EQ69">
        <f t="shared" si="86"/>
        <v>115</v>
      </c>
      <c r="ER69">
        <f t="shared" si="86"/>
        <v>116</v>
      </c>
      <c r="ES69">
        <f t="shared" si="86"/>
        <v>117</v>
      </c>
      <c r="ET69">
        <f t="shared" si="86"/>
        <v>118</v>
      </c>
      <c r="EU69">
        <f t="shared" si="86"/>
        <v>119</v>
      </c>
      <c r="EV69">
        <f t="shared" si="86"/>
        <v>120</v>
      </c>
    </row>
    <row r="70" spans="1:154" x14ac:dyDescent="0.35">
      <c r="A70"/>
      <c r="B70"/>
      <c r="I70" s="94"/>
      <c r="J70" s="220"/>
      <c r="K70" s="220"/>
      <c r="L70" s="220"/>
      <c r="N70" s="13"/>
      <c r="O70" s="13"/>
      <c r="P70" s="13"/>
    </row>
    <row r="71" spans="1:154" x14ac:dyDescent="0.35">
      <c r="A71"/>
      <c r="B71"/>
      <c r="I71" s="13"/>
      <c r="J71" s="216"/>
      <c r="K71" s="216"/>
      <c r="L71" s="217"/>
      <c r="M71" s="218">
        <v>2021</v>
      </c>
      <c r="N71" s="210">
        <f>+N16</f>
        <v>3744420.74</v>
      </c>
      <c r="O71" s="210">
        <f>+O16</f>
        <v>1584145.62</v>
      </c>
      <c r="P71" s="210">
        <f>+P16</f>
        <v>2160275.12</v>
      </c>
      <c r="Q71" s="210">
        <f>+Q16</f>
        <v>31203.510000000002</v>
      </c>
      <c r="R71" s="210"/>
      <c r="S71" s="210"/>
      <c r="T71" s="210">
        <f t="shared" ref="T71:AF71" si="87">+T16</f>
        <v>31203.510000000002</v>
      </c>
      <c r="U71" s="210">
        <f t="shared" si="87"/>
        <v>31203.510000000002</v>
      </c>
      <c r="V71" s="210">
        <f t="shared" si="87"/>
        <v>31203.510000000002</v>
      </c>
      <c r="W71" s="210">
        <f t="shared" si="87"/>
        <v>31203.510000000002</v>
      </c>
      <c r="X71" s="210">
        <f t="shared" si="87"/>
        <v>31203.510000000002</v>
      </c>
      <c r="Y71" s="210">
        <f t="shared" si="87"/>
        <v>31203.510000000002</v>
      </c>
      <c r="Z71" s="210">
        <f t="shared" si="87"/>
        <v>31203.510000000002</v>
      </c>
      <c r="AA71" s="210">
        <f t="shared" si="87"/>
        <v>31203.510000000002</v>
      </c>
      <c r="AB71" s="210">
        <f t="shared" si="87"/>
        <v>31203.510000000002</v>
      </c>
      <c r="AC71" s="210">
        <f t="shared" si="87"/>
        <v>31203.510000000002</v>
      </c>
      <c r="AD71" s="210">
        <f t="shared" si="87"/>
        <v>31203.510000000002</v>
      </c>
      <c r="AE71" s="210">
        <f t="shared" si="87"/>
        <v>31203.510000000002</v>
      </c>
      <c r="AF71" s="210">
        <f t="shared" si="87"/>
        <v>374442.12000000005</v>
      </c>
    </row>
    <row r="72" spans="1:154" x14ac:dyDescent="0.35">
      <c r="A72"/>
      <c r="B72"/>
      <c r="J72" s="221"/>
      <c r="K72" s="221"/>
      <c r="L72" s="222"/>
      <c r="M72" s="218" t="s">
        <v>534</v>
      </c>
      <c r="N72" s="210">
        <f>+N16+N29</f>
        <v>31135818.260000005</v>
      </c>
      <c r="O72" s="210">
        <f>+O16+O29</f>
        <v>11010117.890000001</v>
      </c>
      <c r="P72" s="210">
        <f>+P16+P29</f>
        <v>20125700.370000001</v>
      </c>
      <c r="Q72" s="210">
        <f>+Q16+Q29</f>
        <v>259465.15000000002</v>
      </c>
      <c r="R72" s="210"/>
      <c r="S72" s="210"/>
      <c r="T72" s="210">
        <f t="shared" ref="T72:AF72" si="88">+T16+T29</f>
        <v>259465.15000000002</v>
      </c>
      <c r="U72" s="210">
        <f t="shared" si="88"/>
        <v>259465.15000000002</v>
      </c>
      <c r="V72" s="210">
        <f t="shared" si="88"/>
        <v>259465.15000000002</v>
      </c>
      <c r="W72" s="210">
        <f t="shared" si="88"/>
        <v>259465.15000000002</v>
      </c>
      <c r="X72" s="210">
        <f t="shared" si="88"/>
        <v>259465.15000000002</v>
      </c>
      <c r="Y72" s="210">
        <f t="shared" si="88"/>
        <v>259465.15000000002</v>
      </c>
      <c r="Z72" s="210">
        <f t="shared" si="88"/>
        <v>259465.15000000002</v>
      </c>
      <c r="AA72" s="210">
        <f t="shared" si="88"/>
        <v>259465.15000000002</v>
      </c>
      <c r="AB72" s="210">
        <f t="shared" si="88"/>
        <v>259465.15000000002</v>
      </c>
      <c r="AC72" s="210">
        <f t="shared" si="88"/>
        <v>259465.15000000002</v>
      </c>
      <c r="AD72" s="210">
        <f t="shared" si="88"/>
        <v>259465.15000000002</v>
      </c>
      <c r="AE72" s="210">
        <f t="shared" si="88"/>
        <v>259465.15000000002</v>
      </c>
      <c r="AF72" s="210">
        <f t="shared" si="88"/>
        <v>3113581.8000000003</v>
      </c>
    </row>
    <row r="73" spans="1:154" x14ac:dyDescent="0.35">
      <c r="A73"/>
      <c r="B73"/>
      <c r="I73" s="13"/>
      <c r="J73" s="221"/>
      <c r="K73" s="221"/>
      <c r="L73" s="222"/>
      <c r="M73" s="218" t="s">
        <v>535</v>
      </c>
      <c r="N73" s="210">
        <f>+N72+N42</f>
        <v>79500391.050000012</v>
      </c>
      <c r="O73" s="210">
        <f>+O72+O42</f>
        <v>23289958.790000003</v>
      </c>
      <c r="P73" s="210">
        <f>+P72+P42</f>
        <v>56210432.260000005</v>
      </c>
      <c r="Q73" s="210">
        <f>+Q72+Q42</f>
        <v>662503.27</v>
      </c>
      <c r="R73" s="210"/>
      <c r="S73" s="210"/>
      <c r="T73" s="210">
        <f t="shared" ref="T73:AF73" si="89">+T72+T42</f>
        <v>662503.27</v>
      </c>
      <c r="U73" s="210">
        <f t="shared" si="89"/>
        <v>662503.27</v>
      </c>
      <c r="V73" s="210">
        <f t="shared" si="89"/>
        <v>662503.27</v>
      </c>
      <c r="W73" s="210">
        <f t="shared" si="89"/>
        <v>662503.27</v>
      </c>
      <c r="X73" s="210">
        <f t="shared" si="89"/>
        <v>662503.27</v>
      </c>
      <c r="Y73" s="210">
        <f t="shared" si="89"/>
        <v>662503.27</v>
      </c>
      <c r="Z73" s="210">
        <f t="shared" si="89"/>
        <v>662503.27</v>
      </c>
      <c r="AA73" s="210">
        <f t="shared" si="89"/>
        <v>662503.27</v>
      </c>
      <c r="AB73" s="210">
        <f t="shared" si="89"/>
        <v>662503.27</v>
      </c>
      <c r="AC73" s="210">
        <f t="shared" si="89"/>
        <v>662503.27</v>
      </c>
      <c r="AD73" s="210">
        <f t="shared" si="89"/>
        <v>662503.27</v>
      </c>
      <c r="AE73" s="210">
        <f t="shared" si="89"/>
        <v>662503.27</v>
      </c>
      <c r="AF73" s="210">
        <f t="shared" si="89"/>
        <v>7950039.2400000002</v>
      </c>
    </row>
    <row r="74" spans="1:154" x14ac:dyDescent="0.35">
      <c r="A74"/>
      <c r="B74"/>
      <c r="I74" s="13"/>
      <c r="J74" s="221"/>
      <c r="K74" s="221"/>
      <c r="L74" s="222"/>
      <c r="M74" s="218" t="s">
        <v>536</v>
      </c>
      <c r="N74" s="210">
        <f>+N55+N73</f>
        <v>201978213.38</v>
      </c>
      <c r="O74" s="210">
        <f>+O55+O73</f>
        <v>41000595.350000001</v>
      </c>
      <c r="P74" s="210">
        <f>+P55+P73</f>
        <v>160977618.03000003</v>
      </c>
      <c r="Q74" s="210">
        <f>+Q55+Q73</f>
        <v>1683151.79</v>
      </c>
      <c r="R74" s="210"/>
      <c r="S74" s="210"/>
      <c r="T74" s="210">
        <f t="shared" ref="T74:AF74" si="90">+T55+T73</f>
        <v>1683151.79</v>
      </c>
      <c r="U74" s="210">
        <f t="shared" si="90"/>
        <v>1683151.79</v>
      </c>
      <c r="V74" s="210">
        <f t="shared" si="90"/>
        <v>1683151.79</v>
      </c>
      <c r="W74" s="210">
        <f t="shared" si="90"/>
        <v>1683151.79</v>
      </c>
      <c r="X74" s="210">
        <f t="shared" si="90"/>
        <v>1683151.79</v>
      </c>
      <c r="Y74" s="210">
        <f t="shared" si="90"/>
        <v>1683151.79</v>
      </c>
      <c r="Z74" s="210">
        <f t="shared" si="90"/>
        <v>1683151.79</v>
      </c>
      <c r="AA74" s="210">
        <f t="shared" si="90"/>
        <v>1683151.79</v>
      </c>
      <c r="AB74" s="210">
        <f t="shared" si="90"/>
        <v>1683151.79</v>
      </c>
      <c r="AC74" s="210">
        <f t="shared" si="90"/>
        <v>1683151.79</v>
      </c>
      <c r="AD74" s="210">
        <f t="shared" si="90"/>
        <v>1683151.79</v>
      </c>
      <c r="AE74" s="210">
        <f t="shared" si="90"/>
        <v>1683151.79</v>
      </c>
      <c r="AF74" s="210">
        <f t="shared" si="90"/>
        <v>20197821.48</v>
      </c>
    </row>
    <row r="75" spans="1:154" x14ac:dyDescent="0.35">
      <c r="A75"/>
      <c r="B75"/>
      <c r="I75" s="13"/>
      <c r="J75" s="221"/>
      <c r="K75" s="221"/>
      <c r="L75" s="222"/>
      <c r="M75" s="218" t="s">
        <v>537</v>
      </c>
      <c r="N75" s="210">
        <f>+N68+N74</f>
        <v>230856788.93000001</v>
      </c>
      <c r="O75" s="210">
        <f>+O68+O74</f>
        <v>43723038.240000002</v>
      </c>
      <c r="P75" s="210">
        <f>+P68+P74</f>
        <v>187133750.69000006</v>
      </c>
      <c r="Q75" s="210">
        <f>+Q68+Q74</f>
        <v>1923806.58</v>
      </c>
      <c r="R75" s="210"/>
      <c r="S75" s="210"/>
      <c r="T75" s="210">
        <f t="shared" ref="T75:AF75" si="91">+T68+T74</f>
        <v>1707102.1600000001</v>
      </c>
      <c r="U75" s="210">
        <f t="shared" si="91"/>
        <v>1817252.9300000002</v>
      </c>
      <c r="V75" s="210">
        <f t="shared" si="91"/>
        <v>1746705.73</v>
      </c>
      <c r="W75" s="210">
        <f t="shared" si="91"/>
        <v>1918464.6</v>
      </c>
      <c r="X75" s="210">
        <f t="shared" si="91"/>
        <v>1971260.24</v>
      </c>
      <c r="Y75" s="210">
        <f t="shared" si="91"/>
        <v>2007598.6</v>
      </c>
      <c r="Z75" s="210">
        <f t="shared" si="91"/>
        <v>2014701.37</v>
      </c>
      <c r="AA75" s="210">
        <f t="shared" si="91"/>
        <v>2003409.17</v>
      </c>
      <c r="AB75" s="210">
        <f t="shared" si="91"/>
        <v>1939961.99</v>
      </c>
      <c r="AC75" s="210">
        <f t="shared" si="91"/>
        <v>1939892.8800000001</v>
      </c>
      <c r="AD75" s="210">
        <f t="shared" si="91"/>
        <v>1930108.12</v>
      </c>
      <c r="AE75" s="210">
        <f t="shared" si="91"/>
        <v>1923806.58</v>
      </c>
      <c r="AF75" s="210">
        <f t="shared" si="91"/>
        <v>22920264.370000001</v>
      </c>
    </row>
    <row r="76" spans="1:154" x14ac:dyDescent="0.35">
      <c r="A76"/>
      <c r="B76"/>
      <c r="I76" s="13"/>
      <c r="N76" s="203">
        <f>+N69-N75</f>
        <v>0</v>
      </c>
      <c r="O76" s="203">
        <f t="shared" ref="O76:AF76" si="92">+O69-O75</f>
        <v>0</v>
      </c>
      <c r="P76" s="203">
        <f t="shared" si="92"/>
        <v>0</v>
      </c>
      <c r="Q76" s="203">
        <f t="shared" si="92"/>
        <v>0</v>
      </c>
      <c r="R76" s="203"/>
      <c r="S76" s="203"/>
      <c r="T76" s="203">
        <f t="shared" si="92"/>
        <v>0</v>
      </c>
      <c r="U76" s="203">
        <f t="shared" si="92"/>
        <v>0</v>
      </c>
      <c r="V76" s="203">
        <f t="shared" si="92"/>
        <v>0</v>
      </c>
      <c r="W76" s="203">
        <f t="shared" si="92"/>
        <v>0</v>
      </c>
      <c r="X76" s="203">
        <f t="shared" si="92"/>
        <v>0</v>
      </c>
      <c r="Y76" s="203">
        <f t="shared" si="92"/>
        <v>0</v>
      </c>
      <c r="Z76" s="203">
        <f t="shared" si="92"/>
        <v>0</v>
      </c>
      <c r="AA76" s="203">
        <f t="shared" si="92"/>
        <v>0</v>
      </c>
      <c r="AB76" s="203">
        <f t="shared" si="92"/>
        <v>0</v>
      </c>
      <c r="AC76" s="203">
        <f t="shared" si="92"/>
        <v>0</v>
      </c>
      <c r="AD76" s="203">
        <f t="shared" si="92"/>
        <v>0</v>
      </c>
      <c r="AE76" s="203">
        <f t="shared" si="92"/>
        <v>0</v>
      </c>
      <c r="AF76" s="203">
        <f t="shared" si="92"/>
        <v>0</v>
      </c>
    </row>
    <row r="77" spans="1:154" x14ac:dyDescent="0.35">
      <c r="A77"/>
      <c r="B77"/>
    </row>
    <row r="78" spans="1:154" ht="29" x14ac:dyDescent="0.35">
      <c r="K78" s="218" t="s">
        <v>538</v>
      </c>
      <c r="M78" s="218" t="s">
        <v>684</v>
      </c>
      <c r="N78" s="210">
        <f>+N75</f>
        <v>230856788.93000001</v>
      </c>
      <c r="O78" s="210">
        <f>+O75</f>
        <v>43723038.240000002</v>
      </c>
      <c r="P78" s="210">
        <f>+P75</f>
        <v>187133750.69000006</v>
      </c>
      <c r="Q78" s="13"/>
      <c r="T78" s="159">
        <v>1707102.1600000001</v>
      </c>
      <c r="U78" s="159">
        <v>1817252.9300000002</v>
      </c>
      <c r="V78" s="159">
        <v>1746705.73</v>
      </c>
      <c r="W78" s="159">
        <v>1918464.6</v>
      </c>
      <c r="X78" s="159">
        <v>1974367.25</v>
      </c>
      <c r="Y78" s="159">
        <v>2004491.59</v>
      </c>
      <c r="Z78">
        <v>2014701.37</v>
      </c>
      <c r="AA78">
        <v>2003409.17</v>
      </c>
      <c r="AB78">
        <v>1939961.99</v>
      </c>
      <c r="AC78">
        <v>1939892.8800000001</v>
      </c>
      <c r="AD78">
        <v>1930108.12</v>
      </c>
      <c r="AE78">
        <f>AD78</f>
        <v>1930108.12</v>
      </c>
    </row>
    <row r="79" spans="1:154" ht="29" x14ac:dyDescent="0.35">
      <c r="K79" s="218" t="s">
        <v>539</v>
      </c>
      <c r="M79" s="218" t="s">
        <v>684</v>
      </c>
      <c r="N79" s="210">
        <f>+'1-Yr Amort'!N69</f>
        <v>11471744.039999999</v>
      </c>
      <c r="O79" s="210">
        <f>+'1-Yr Amort'!O69</f>
        <v>10940123.109999999</v>
      </c>
      <c r="P79" s="210">
        <f>+'1-Yr Amort'!P69</f>
        <v>531620.92999999993</v>
      </c>
      <c r="Q79" s="13"/>
      <c r="T79" s="13">
        <f>T75-T78</f>
        <v>0</v>
      </c>
      <c r="U79" s="13">
        <f t="shared" ref="U79:Y79" si="93">U75-U78</f>
        <v>0</v>
      </c>
      <c r="V79" s="13">
        <f t="shared" si="93"/>
        <v>0</v>
      </c>
      <c r="W79" s="13">
        <f t="shared" si="93"/>
        <v>0</v>
      </c>
      <c r="X79" s="13">
        <f t="shared" si="93"/>
        <v>-3107.0100000000093</v>
      </c>
      <c r="Y79" s="13">
        <f t="shared" si="93"/>
        <v>3107.0100000000093</v>
      </c>
      <c r="Z79" s="13">
        <f t="shared" ref="Z79" si="94">Z75-Z78</f>
        <v>0</v>
      </c>
      <c r="AA79" s="13">
        <f t="shared" ref="AA79" si="95">AA75-AA78</f>
        <v>0</v>
      </c>
      <c r="AB79" s="13">
        <f t="shared" ref="AB79" si="96">AB75-AB78</f>
        <v>0</v>
      </c>
      <c r="AC79" s="13">
        <f t="shared" ref="AC79" si="97">AC75-AC78</f>
        <v>0</v>
      </c>
      <c r="AD79" s="13">
        <f t="shared" ref="AD79:AE79" si="98">AD75-AD78</f>
        <v>0</v>
      </c>
      <c r="AE79" s="13">
        <f t="shared" si="98"/>
        <v>-6301.5400000000373</v>
      </c>
    </row>
    <row r="80" spans="1:154" ht="29" x14ac:dyDescent="0.35">
      <c r="K80" s="218" t="s">
        <v>540</v>
      </c>
      <c r="M80" s="218" t="s">
        <v>684</v>
      </c>
      <c r="N80" s="210">
        <f>SUM(N78:N79)</f>
        <v>242328532.97</v>
      </c>
      <c r="O80" s="210">
        <f>SUM(O78:O79)</f>
        <v>54663161.350000001</v>
      </c>
      <c r="P80" s="210">
        <f>SUM(P78:P79)</f>
        <v>187665371.62000006</v>
      </c>
      <c r="Q80" s="13">
        <f>+N80-O80-P80</f>
        <v>0</v>
      </c>
    </row>
    <row r="81" spans="14:17" x14ac:dyDescent="0.35">
      <c r="O81" s="13"/>
      <c r="P81" s="13"/>
    </row>
    <row r="82" spans="14:17" x14ac:dyDescent="0.35">
      <c r="O82" s="13"/>
      <c r="P82" s="13"/>
    </row>
    <row r="84" spans="14:17" x14ac:dyDescent="0.35">
      <c r="N84" s="13"/>
      <c r="O84" s="13"/>
      <c r="P84" s="13"/>
      <c r="Q84" s="13"/>
    </row>
    <row r="85" spans="14:17" x14ac:dyDescent="0.35">
      <c r="N85" s="13"/>
      <c r="O85" s="13"/>
      <c r="P85" s="13"/>
      <c r="Q85" s="13"/>
    </row>
    <row r="86" spans="14:17" x14ac:dyDescent="0.35">
      <c r="N86" s="13"/>
      <c r="O86" s="13"/>
      <c r="P86" s="13"/>
      <c r="Q86" s="13"/>
    </row>
    <row r="87" spans="14:17" x14ac:dyDescent="0.35">
      <c r="P87" s="13"/>
    </row>
    <row r="88" spans="14:17" x14ac:dyDescent="0.35">
      <c r="P88" s="13"/>
    </row>
    <row r="89" spans="14:17" x14ac:dyDescent="0.35">
      <c r="N89" s="13"/>
      <c r="O89" s="13"/>
      <c r="P89" s="13"/>
    </row>
    <row r="90" spans="14:17" x14ac:dyDescent="0.35">
      <c r="N90" s="13"/>
      <c r="O90" s="13"/>
      <c r="P90" s="13"/>
    </row>
    <row r="91" spans="14:17" x14ac:dyDescent="0.35">
      <c r="N91" s="13"/>
      <c r="O91" s="13"/>
      <c r="P91" s="13"/>
    </row>
    <row r="93" spans="14:17" x14ac:dyDescent="0.35">
      <c r="N93" s="13"/>
      <c r="O93" s="13"/>
      <c r="P93" s="13"/>
      <c r="Q93" s="13"/>
    </row>
    <row r="94" spans="14:17" x14ac:dyDescent="0.35">
      <c r="N94" s="13"/>
      <c r="O94" s="13"/>
      <c r="P94" s="13"/>
      <c r="Q94" s="13"/>
    </row>
    <row r="95" spans="14:17" x14ac:dyDescent="0.35">
      <c r="N95" s="13"/>
      <c r="O95" s="13"/>
      <c r="P95" s="13"/>
      <c r="Q95" s="13"/>
    </row>
    <row r="97" spans="14:17" x14ac:dyDescent="0.35">
      <c r="N97" s="13"/>
      <c r="O97" s="13"/>
      <c r="P97" s="13"/>
      <c r="Q97" s="13"/>
    </row>
    <row r="98" spans="14:17" x14ac:dyDescent="0.35">
      <c r="N98" s="13"/>
      <c r="O98" s="13"/>
      <c r="P98" s="13"/>
      <c r="Q98" s="13"/>
    </row>
    <row r="99" spans="14:17" x14ac:dyDescent="0.35">
      <c r="N99" s="13"/>
      <c r="O99" s="13"/>
      <c r="P99" s="13"/>
      <c r="Q99" s="13"/>
    </row>
    <row r="101" spans="14:17" x14ac:dyDescent="0.35">
      <c r="N101" s="13"/>
      <c r="O101" s="13"/>
      <c r="P101" s="13"/>
    </row>
    <row r="102" spans="14:17" x14ac:dyDescent="0.35">
      <c r="N102" s="13"/>
      <c r="O102" s="13"/>
      <c r="P102" s="13"/>
    </row>
    <row r="103" spans="14:17" x14ac:dyDescent="0.35">
      <c r="N103" s="13"/>
      <c r="O103" s="13"/>
      <c r="P103" s="13"/>
    </row>
  </sheetData>
  <phoneticPr fontId="9"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5ED03-83E6-4D1A-A52C-ACC66C71EBC3}">
  <sheetPr codeName="Sheet13"/>
  <dimension ref="A1:AJ86"/>
  <sheetViews>
    <sheetView zoomScale="80" zoomScaleNormal="80" workbookViewId="0">
      <pane xSplit="9" ySplit="9" topLeftCell="J10" activePane="bottomRight" state="frozen"/>
      <selection pane="topRight" activeCell="J1" sqref="J1"/>
      <selection pane="bottomLeft" activeCell="E10" sqref="E10"/>
      <selection pane="bottomRight"/>
    </sheetView>
  </sheetViews>
  <sheetFormatPr defaultRowHeight="14.5" outlineLevelRow="1" outlineLevelCol="1" x14ac:dyDescent="0.35"/>
  <cols>
    <col min="1" max="1" width="5.7265625" style="1" customWidth="1" outlineLevel="1"/>
    <col min="2" max="2" width="4.1796875" style="1" customWidth="1" outlineLevel="1"/>
    <col min="3" max="3" width="13.81640625" customWidth="1" outlineLevel="1"/>
    <col min="4" max="4" width="16.26953125" customWidth="1" outlineLevel="1"/>
    <col min="5" max="5" width="10.81640625" bestFit="1" customWidth="1"/>
    <col min="6" max="6" width="5.26953125" bestFit="1" customWidth="1"/>
    <col min="7" max="7" width="20.81640625" bestFit="1" customWidth="1"/>
    <col min="8" max="8" width="7.7265625" bestFit="1" customWidth="1"/>
    <col min="9" max="9" width="14.26953125" bestFit="1" customWidth="1"/>
    <col min="10" max="10" width="9.26953125" style="1" bestFit="1" customWidth="1"/>
    <col min="11" max="11" width="7.453125" style="1" bestFit="1" customWidth="1"/>
    <col min="12" max="12" width="4" style="1" bestFit="1" customWidth="1"/>
    <col min="13" max="13" width="11.7265625" bestFit="1" customWidth="1"/>
    <col min="14" max="14" width="19.54296875" bestFit="1" customWidth="1"/>
    <col min="15" max="15" width="20" bestFit="1" customWidth="1"/>
    <col min="16" max="16" width="16.26953125" bestFit="1" customWidth="1"/>
    <col min="17" max="17" width="17.7265625" bestFit="1" customWidth="1"/>
    <col min="18" max="18" width="6.26953125" bestFit="1" customWidth="1"/>
    <col min="19" max="19" width="5.26953125" bestFit="1" customWidth="1"/>
    <col min="20" max="20" width="18.1796875" bestFit="1" customWidth="1" outlineLevel="1"/>
    <col min="21" max="21" width="17.7265625" bestFit="1" customWidth="1" outlineLevel="1"/>
    <col min="22" max="22" width="18.1796875" bestFit="1" customWidth="1" outlineLevel="1"/>
    <col min="23" max="23" width="17.7265625" bestFit="1" customWidth="1" outlineLevel="1"/>
    <col min="24" max="25" width="18.1796875" bestFit="1" customWidth="1" outlineLevel="1"/>
    <col min="26" max="27" width="17.26953125" bestFit="1" customWidth="1" outlineLevel="1"/>
    <col min="28" max="29" width="17.7265625" bestFit="1" customWidth="1" outlineLevel="1"/>
    <col min="30" max="30" width="16" bestFit="1" customWidth="1" outlineLevel="1"/>
    <col min="31" max="31" width="13.453125" bestFit="1" customWidth="1" outlineLevel="1"/>
    <col min="32" max="32" width="20.26953125" bestFit="1" customWidth="1"/>
    <col min="33" max="33" width="15.26953125" bestFit="1" customWidth="1"/>
    <col min="34" max="34" width="4.1796875" bestFit="1" customWidth="1"/>
    <col min="35" max="35" width="15" bestFit="1" customWidth="1"/>
  </cols>
  <sheetData>
    <row r="1" spans="1:32" x14ac:dyDescent="0.35">
      <c r="C1" s="172"/>
      <c r="E1" s="2" t="s">
        <v>488</v>
      </c>
      <c r="G1" s="436" t="s">
        <v>489</v>
      </c>
      <c r="H1" s="437"/>
      <c r="I1" s="438"/>
      <c r="M1" s="172"/>
      <c r="P1" s="53"/>
      <c r="R1" s="1"/>
      <c r="S1" s="1"/>
      <c r="T1" s="53"/>
      <c r="U1" s="173"/>
      <c r="W1" s="174"/>
    </row>
    <row r="2" spans="1:32" x14ac:dyDescent="0.35">
      <c r="D2" s="175"/>
      <c r="E2" s="176" t="s">
        <v>490</v>
      </c>
      <c r="G2" s="177" t="s">
        <v>491</v>
      </c>
      <c r="H2" s="178">
        <v>12</v>
      </c>
      <c r="I2" s="179"/>
      <c r="N2" s="175"/>
      <c r="P2" s="180"/>
      <c r="Q2" s="172"/>
      <c r="R2" s="172"/>
      <c r="S2" s="172"/>
      <c r="T2" s="53"/>
      <c r="U2" s="173"/>
    </row>
    <row r="3" spans="1:32" x14ac:dyDescent="0.35">
      <c r="D3" s="172"/>
      <c r="E3" s="2" t="s">
        <v>493</v>
      </c>
      <c r="G3" s="177" t="s">
        <v>494</v>
      </c>
      <c r="H3" s="178">
        <v>2025</v>
      </c>
      <c r="I3" s="181">
        <f>+H3+(H2*0.01)</f>
        <v>2025.12</v>
      </c>
      <c r="N3" s="172"/>
      <c r="O3" s="172"/>
      <c r="Q3" s="182"/>
      <c r="R3" s="183"/>
      <c r="S3" s="183"/>
      <c r="U3" s="173"/>
    </row>
    <row r="4" spans="1:32" x14ac:dyDescent="0.35">
      <c r="C4" s="172"/>
      <c r="D4" s="172"/>
      <c r="E4" s="2" t="s">
        <v>204</v>
      </c>
      <c r="G4" s="184"/>
      <c r="H4" s="171"/>
      <c r="I4" s="185"/>
      <c r="M4" s="172"/>
      <c r="N4" s="172"/>
      <c r="U4" s="173"/>
      <c r="AB4" s="172"/>
      <c r="AC4" s="172"/>
    </row>
    <row r="5" spans="1:32" x14ac:dyDescent="0.35">
      <c r="C5" s="172"/>
      <c r="E5" s="2" t="s">
        <v>495</v>
      </c>
      <c r="G5" s="177" t="s">
        <v>496</v>
      </c>
      <c r="H5" s="178">
        <v>1</v>
      </c>
      <c r="I5" s="186" t="s">
        <v>497</v>
      </c>
      <c r="M5" s="172"/>
      <c r="O5" s="172"/>
      <c r="P5" s="13"/>
      <c r="U5" s="13"/>
      <c r="AB5" s="172"/>
      <c r="AC5" s="172"/>
    </row>
    <row r="6" spans="1:32" ht="15" thickBot="1" x14ac:dyDescent="0.4">
      <c r="E6" s="2" t="s">
        <v>498</v>
      </c>
      <c r="G6" s="187" t="s">
        <v>499</v>
      </c>
      <c r="H6" s="188">
        <f>+H5*12</f>
        <v>12</v>
      </c>
      <c r="I6" s="189" t="s">
        <v>500</v>
      </c>
      <c r="AC6" s="172"/>
    </row>
    <row r="7" spans="1:32" ht="15" thickBot="1" x14ac:dyDescent="0.4">
      <c r="A7" s="267" t="s">
        <v>501</v>
      </c>
      <c r="B7" s="268"/>
      <c r="C7" s="268"/>
      <c r="D7" s="269"/>
      <c r="J7" s="190"/>
      <c r="K7" s="190" t="str">
        <f>"Summary Calculations through "&amp;H2&amp;"/"&amp;VLOOKUP($H2,Calendar_Days_Table_1_Yr,3)&amp;"/"&amp;$H3</f>
        <v>Summary Calculations through 12/31/2025</v>
      </c>
      <c r="L7" s="191"/>
      <c r="M7" s="191"/>
      <c r="N7" s="191"/>
      <c r="O7" s="191"/>
      <c r="P7" s="191"/>
      <c r="Q7" s="191"/>
      <c r="R7" s="191"/>
      <c r="S7" s="191"/>
      <c r="T7" s="190" t="str">
        <f>H3&amp;" Amortization by Month"</f>
        <v>2025 Amortization by Month</v>
      </c>
      <c r="U7" s="191"/>
      <c r="V7" s="191"/>
      <c r="W7" s="191"/>
      <c r="X7" s="191"/>
      <c r="Y7" s="191"/>
      <c r="Z7" s="191"/>
      <c r="AA7" s="191"/>
      <c r="AB7" s="191"/>
      <c r="AC7" s="191"/>
      <c r="AD7" s="191"/>
      <c r="AE7" s="191"/>
      <c r="AF7" s="192"/>
    </row>
    <row r="8" spans="1:32" ht="26.5" thickBot="1" x14ac:dyDescent="0.4">
      <c r="A8" s="270" t="s">
        <v>502</v>
      </c>
      <c r="B8" s="271"/>
      <c r="C8" s="271"/>
      <c r="D8" s="272"/>
      <c r="F8" s="190" t="s">
        <v>503</v>
      </c>
      <c r="G8" s="193"/>
      <c r="H8" s="192"/>
      <c r="J8" s="270"/>
      <c r="K8" s="270" t="s">
        <v>502</v>
      </c>
      <c r="L8" s="271"/>
      <c r="M8" s="271"/>
      <c r="N8" s="271"/>
      <c r="O8" s="271"/>
      <c r="P8" s="271"/>
      <c r="Q8" s="272"/>
      <c r="R8" s="273" t="s">
        <v>504</v>
      </c>
      <c r="S8" s="274"/>
      <c r="T8" s="275">
        <v>1</v>
      </c>
      <c r="U8" s="275">
        <f>+T8+1</f>
        <v>2</v>
      </c>
      <c r="V8" s="275">
        <f t="shared" ref="V8:AE8" si="0">+U8+1</f>
        <v>3</v>
      </c>
      <c r="W8" s="275">
        <f t="shared" si="0"/>
        <v>4</v>
      </c>
      <c r="X8" s="275">
        <f t="shared" si="0"/>
        <v>5</v>
      </c>
      <c r="Y8" s="275">
        <f t="shared" si="0"/>
        <v>6</v>
      </c>
      <c r="Z8" s="275">
        <f t="shared" si="0"/>
        <v>7</v>
      </c>
      <c r="AA8" s="275">
        <f t="shared" si="0"/>
        <v>8</v>
      </c>
      <c r="AB8" s="275">
        <f t="shared" si="0"/>
        <v>9</v>
      </c>
      <c r="AC8" s="275">
        <f t="shared" si="0"/>
        <v>10</v>
      </c>
      <c r="AD8" s="275">
        <f t="shared" si="0"/>
        <v>11</v>
      </c>
      <c r="AE8" s="275">
        <f t="shared" si="0"/>
        <v>12</v>
      </c>
      <c r="AF8" s="275">
        <f>+AE8+1</f>
        <v>13</v>
      </c>
    </row>
    <row r="9" spans="1:32" ht="42" customHeight="1" thickBot="1" x14ac:dyDescent="0.4">
      <c r="A9" s="276" t="s">
        <v>156</v>
      </c>
      <c r="B9" s="276" t="s">
        <v>334</v>
      </c>
      <c r="C9" s="276" t="s">
        <v>516</v>
      </c>
      <c r="D9" s="276" t="s">
        <v>541</v>
      </c>
      <c r="F9" s="276" t="s">
        <v>518</v>
      </c>
      <c r="G9" s="276" t="s">
        <v>519</v>
      </c>
      <c r="H9" s="276" t="s">
        <v>520</v>
      </c>
      <c r="J9" s="276" t="s">
        <v>521</v>
      </c>
      <c r="K9" s="276" t="s">
        <v>156</v>
      </c>
      <c r="L9" s="276" t="s">
        <v>334</v>
      </c>
      <c r="M9" s="276" t="s">
        <v>516</v>
      </c>
      <c r="N9" s="276" t="s">
        <v>541</v>
      </c>
      <c r="O9" s="276" t="str">
        <f>"Cumulative Amortization @ "&amp;$H2&amp;"/"&amp;VLOOKUP($H2,Calendar_Days_Table_1_Yr,3)&amp;"/"&amp;$H3</f>
        <v>Cumulative Amortization @ 12/31/2025</v>
      </c>
      <c r="P9" s="276" t="str">
        <f>"Unamortized Balance @ "&amp;$H2&amp;"/"&amp;VLOOKUP($H2,Calendar_Days_Table_1_Yr,3)&amp;"/"&amp;$H3</f>
        <v>Unamortized Balance @ 12/31/2025</v>
      </c>
      <c r="Q9" s="276" t="s">
        <v>522</v>
      </c>
      <c r="R9" s="276" t="s">
        <v>156</v>
      </c>
      <c r="S9" s="276" t="s">
        <v>203</v>
      </c>
      <c r="T9" s="276" t="s">
        <v>162</v>
      </c>
      <c r="U9" s="276" t="s">
        <v>163</v>
      </c>
      <c r="V9" s="276" t="s">
        <v>164</v>
      </c>
      <c r="W9" s="276" t="s">
        <v>165</v>
      </c>
      <c r="X9" s="276" t="s">
        <v>166</v>
      </c>
      <c r="Y9" s="276" t="s">
        <v>304</v>
      </c>
      <c r="Z9" s="276" t="s">
        <v>343</v>
      </c>
      <c r="AA9" s="276" t="s">
        <v>169</v>
      </c>
      <c r="AB9" s="276" t="s">
        <v>346</v>
      </c>
      <c r="AC9" s="276" t="s">
        <v>171</v>
      </c>
      <c r="AD9" s="276" t="s">
        <v>172</v>
      </c>
      <c r="AE9" s="276" t="s">
        <v>173</v>
      </c>
      <c r="AF9" s="276" t="s">
        <v>301</v>
      </c>
    </row>
    <row r="10" spans="1:32" outlineLevel="1" x14ac:dyDescent="0.35">
      <c r="A10" s="194">
        <v>2021</v>
      </c>
      <c r="B10" s="194">
        <v>7</v>
      </c>
      <c r="C10" s="195" t="s">
        <v>343</v>
      </c>
      <c r="D10" s="196">
        <v>0</v>
      </c>
      <c r="F10" s="194">
        <v>1</v>
      </c>
      <c r="G10" s="197" t="s">
        <v>524</v>
      </c>
      <c r="H10" s="194">
        <v>31</v>
      </c>
      <c r="J10" s="198">
        <f>+K10+L10*0.01</f>
        <v>2021.07</v>
      </c>
      <c r="K10" s="194">
        <v>2021</v>
      </c>
      <c r="L10" s="194">
        <v>7</v>
      </c>
      <c r="M10" s="195" t="s">
        <v>343</v>
      </c>
      <c r="N10" s="199">
        <f t="shared" ref="N10:N15" si="1">IF(I$3-J10&gt;=0,D10,0)</f>
        <v>0</v>
      </c>
      <c r="O10" s="200">
        <f t="shared" ref="O10:O15" si="2">IF((H$3-K10)*12+(H$2-L10+1)&gt;=$H$6,N10,IF((H$3-K10)*12+(H$2-L10+1)&lt;0,0,((H$3-K10)*12+(H$2-L10+1))*Q10))</f>
        <v>0</v>
      </c>
      <c r="P10" s="201">
        <f t="shared" ref="P10:P15" si="3">+N10-O10</f>
        <v>0</v>
      </c>
      <c r="Q10" s="201">
        <f t="shared" ref="Q10:Q15" si="4">ROUND(N10/H$6,2)</f>
        <v>0</v>
      </c>
      <c r="R10" s="194">
        <f t="shared" ref="R10:R15" si="5">+K10+H$5</f>
        <v>2022</v>
      </c>
      <c r="S10" s="194">
        <f t="shared" ref="S10:S15" si="6">+L10-1</f>
        <v>6</v>
      </c>
      <c r="T10" s="200">
        <f t="shared" ref="T10:AE15" si="7">IF($H$3=$K10,IF(T$8&lt;$L10,0,$Q10))+IF($H$3&lt;$R10,$Q10,0)+IF($H$3=$R10,IF(T$8&lt;$S10,$Q10,0))+IF($H$3=$R10,IF(T$8=$S10,$Q10+($N10-$Q10*$H$6),IF($H$3&gt;$R10,0)))+IF($O10=0,-$Q10,IF($H$3&gt;$K10,0,-$Q10))</f>
        <v>0</v>
      </c>
      <c r="U10" s="200">
        <f t="shared" si="7"/>
        <v>0</v>
      </c>
      <c r="V10" s="200">
        <f t="shared" si="7"/>
        <v>0</v>
      </c>
      <c r="W10" s="200">
        <f t="shared" si="7"/>
        <v>0</v>
      </c>
      <c r="X10" s="200">
        <f t="shared" si="7"/>
        <v>0</v>
      </c>
      <c r="Y10" s="200">
        <f t="shared" si="7"/>
        <v>0</v>
      </c>
      <c r="Z10" s="200">
        <f t="shared" si="7"/>
        <v>0</v>
      </c>
      <c r="AA10" s="200">
        <f t="shared" si="7"/>
        <v>0</v>
      </c>
      <c r="AB10" s="200">
        <f t="shared" si="7"/>
        <v>0</v>
      </c>
      <c r="AC10" s="200">
        <f t="shared" si="7"/>
        <v>0</v>
      </c>
      <c r="AD10" s="200">
        <f t="shared" si="7"/>
        <v>0</v>
      </c>
      <c r="AE10" s="200">
        <f t="shared" si="7"/>
        <v>0</v>
      </c>
      <c r="AF10" s="200">
        <f t="shared" ref="AF10:AF15" si="8">SUM(T10:AE10)</f>
        <v>0</v>
      </c>
    </row>
    <row r="11" spans="1:32" outlineLevel="1" x14ac:dyDescent="0.35">
      <c r="A11" s="194">
        <f t="shared" ref="A11:A16" si="9">+A10</f>
        <v>2021</v>
      </c>
      <c r="B11" s="194">
        <v>8</v>
      </c>
      <c r="C11" s="195" t="s">
        <v>526</v>
      </c>
      <c r="D11" s="202">
        <v>26000</v>
      </c>
      <c r="F11" s="194">
        <v>2</v>
      </c>
      <c r="G11" s="197" t="s">
        <v>525</v>
      </c>
      <c r="H11" s="194">
        <f>IF(MOD(H3,4)=0,29,28)</f>
        <v>28</v>
      </c>
      <c r="J11" s="198">
        <f t="shared" ref="J11:J67" si="10">+K11+L11*0.01</f>
        <v>2021.08</v>
      </c>
      <c r="K11" s="194">
        <f t="shared" ref="K11:K16" si="11">+K10</f>
        <v>2021</v>
      </c>
      <c r="L11" s="194">
        <v>8</v>
      </c>
      <c r="M11" s="195" t="s">
        <v>526</v>
      </c>
      <c r="N11" s="203">
        <f t="shared" si="1"/>
        <v>26000</v>
      </c>
      <c r="O11" s="203">
        <f t="shared" si="2"/>
        <v>26000</v>
      </c>
      <c r="P11" s="203">
        <f t="shared" si="3"/>
        <v>0</v>
      </c>
      <c r="Q11" s="203">
        <f t="shared" si="4"/>
        <v>2166.67</v>
      </c>
      <c r="R11" s="194">
        <f t="shared" si="5"/>
        <v>2022</v>
      </c>
      <c r="S11" s="194">
        <f t="shared" si="6"/>
        <v>7</v>
      </c>
      <c r="T11" s="174">
        <f t="shared" si="7"/>
        <v>0</v>
      </c>
      <c r="U11" s="174">
        <f t="shared" si="7"/>
        <v>0</v>
      </c>
      <c r="V11" s="174">
        <f t="shared" si="7"/>
        <v>0</v>
      </c>
      <c r="W11" s="174">
        <f t="shared" si="7"/>
        <v>0</v>
      </c>
      <c r="X11" s="174">
        <f t="shared" si="7"/>
        <v>0</v>
      </c>
      <c r="Y11" s="174">
        <f t="shared" si="7"/>
        <v>0</v>
      </c>
      <c r="Z11" s="174">
        <f t="shared" si="7"/>
        <v>0</v>
      </c>
      <c r="AA11" s="174">
        <f t="shared" si="7"/>
        <v>0</v>
      </c>
      <c r="AB11" s="174">
        <f t="shared" si="7"/>
        <v>0</v>
      </c>
      <c r="AC11" s="174">
        <f t="shared" si="7"/>
        <v>0</v>
      </c>
      <c r="AD11" s="174">
        <f t="shared" si="7"/>
        <v>0</v>
      </c>
      <c r="AE11" s="174">
        <f t="shared" si="7"/>
        <v>0</v>
      </c>
      <c r="AF11" s="174">
        <f t="shared" si="8"/>
        <v>0</v>
      </c>
    </row>
    <row r="12" spans="1:32" outlineLevel="1" x14ac:dyDescent="0.35">
      <c r="A12" s="194">
        <f t="shared" si="9"/>
        <v>2021</v>
      </c>
      <c r="B12" s="194">
        <v>9</v>
      </c>
      <c r="C12" s="195" t="s">
        <v>527</v>
      </c>
      <c r="D12" s="202">
        <v>512000</v>
      </c>
      <c r="F12" s="194">
        <v>3</v>
      </c>
      <c r="G12" s="197" t="s">
        <v>302</v>
      </c>
      <c r="H12" s="194">
        <v>31</v>
      </c>
      <c r="J12" s="198">
        <f t="shared" si="10"/>
        <v>2021.09</v>
      </c>
      <c r="K12" s="194">
        <f t="shared" si="11"/>
        <v>2021</v>
      </c>
      <c r="L12" s="194">
        <v>9</v>
      </c>
      <c r="M12" s="195" t="s">
        <v>527</v>
      </c>
      <c r="N12" s="203">
        <f t="shared" si="1"/>
        <v>512000</v>
      </c>
      <c r="O12" s="203">
        <f t="shared" si="2"/>
        <v>512000</v>
      </c>
      <c r="P12" s="203">
        <f t="shared" si="3"/>
        <v>0</v>
      </c>
      <c r="Q12" s="203">
        <f t="shared" si="4"/>
        <v>42666.67</v>
      </c>
      <c r="R12" s="194">
        <f t="shared" si="5"/>
        <v>2022</v>
      </c>
      <c r="S12" s="194">
        <f t="shared" si="6"/>
        <v>8</v>
      </c>
      <c r="T12" s="174">
        <f t="shared" si="7"/>
        <v>0</v>
      </c>
      <c r="U12" s="174">
        <f t="shared" si="7"/>
        <v>0</v>
      </c>
      <c r="V12" s="174">
        <f t="shared" si="7"/>
        <v>0</v>
      </c>
      <c r="W12" s="174">
        <f t="shared" si="7"/>
        <v>0</v>
      </c>
      <c r="X12" s="174">
        <f t="shared" si="7"/>
        <v>0</v>
      </c>
      <c r="Y12" s="174">
        <f t="shared" si="7"/>
        <v>0</v>
      </c>
      <c r="Z12" s="174">
        <f t="shared" si="7"/>
        <v>0</v>
      </c>
      <c r="AA12" s="174">
        <f t="shared" si="7"/>
        <v>0</v>
      </c>
      <c r="AB12" s="174">
        <f t="shared" si="7"/>
        <v>0</v>
      </c>
      <c r="AC12" s="174">
        <f t="shared" si="7"/>
        <v>0</v>
      </c>
      <c r="AD12" s="174">
        <f t="shared" si="7"/>
        <v>0</v>
      </c>
      <c r="AE12" s="174">
        <f t="shared" si="7"/>
        <v>0</v>
      </c>
      <c r="AF12" s="174">
        <f t="shared" si="8"/>
        <v>0</v>
      </c>
    </row>
    <row r="13" spans="1:32" outlineLevel="1" x14ac:dyDescent="0.35">
      <c r="A13" s="204">
        <f t="shared" si="9"/>
        <v>2021</v>
      </c>
      <c r="B13" s="204">
        <v>10</v>
      </c>
      <c r="C13" s="205" t="s">
        <v>528</v>
      </c>
      <c r="D13" s="202">
        <v>3000</v>
      </c>
      <c r="F13" s="194">
        <v>4</v>
      </c>
      <c r="G13" s="197" t="s">
        <v>303</v>
      </c>
      <c r="H13" s="194">
        <v>30</v>
      </c>
      <c r="J13" s="206">
        <f t="shared" si="10"/>
        <v>2021.1</v>
      </c>
      <c r="K13" s="204">
        <f t="shared" si="11"/>
        <v>2021</v>
      </c>
      <c r="L13" s="204">
        <v>10</v>
      </c>
      <c r="M13" s="205" t="s">
        <v>528</v>
      </c>
      <c r="N13" s="203">
        <f t="shared" si="1"/>
        <v>3000</v>
      </c>
      <c r="O13" s="203">
        <f t="shared" si="2"/>
        <v>3000</v>
      </c>
      <c r="P13" s="203">
        <f t="shared" si="3"/>
        <v>0</v>
      </c>
      <c r="Q13" s="203">
        <f t="shared" si="4"/>
        <v>250</v>
      </c>
      <c r="R13" s="194">
        <f t="shared" si="5"/>
        <v>2022</v>
      </c>
      <c r="S13" s="194">
        <f t="shared" si="6"/>
        <v>9</v>
      </c>
      <c r="T13" s="174">
        <f t="shared" si="7"/>
        <v>0</v>
      </c>
      <c r="U13" s="174">
        <f t="shared" si="7"/>
        <v>0</v>
      </c>
      <c r="V13" s="174">
        <f t="shared" si="7"/>
        <v>0</v>
      </c>
      <c r="W13" s="174">
        <f t="shared" si="7"/>
        <v>0</v>
      </c>
      <c r="X13" s="174">
        <f t="shared" si="7"/>
        <v>0</v>
      </c>
      <c r="Y13" s="174">
        <f t="shared" si="7"/>
        <v>0</v>
      </c>
      <c r="Z13" s="174">
        <f t="shared" si="7"/>
        <v>0</v>
      </c>
      <c r="AA13" s="174">
        <f t="shared" si="7"/>
        <v>0</v>
      </c>
      <c r="AB13" s="174">
        <f t="shared" si="7"/>
        <v>0</v>
      </c>
      <c r="AC13" s="174">
        <f t="shared" si="7"/>
        <v>0</v>
      </c>
      <c r="AD13" s="174">
        <f t="shared" si="7"/>
        <v>0</v>
      </c>
      <c r="AE13" s="174">
        <f t="shared" si="7"/>
        <v>0</v>
      </c>
      <c r="AF13" s="174">
        <f t="shared" si="8"/>
        <v>0</v>
      </c>
    </row>
    <row r="14" spans="1:32" outlineLevel="1" x14ac:dyDescent="0.35">
      <c r="A14" s="204">
        <f t="shared" si="9"/>
        <v>2021</v>
      </c>
      <c r="B14" s="204">
        <v>11</v>
      </c>
      <c r="C14" s="205" t="s">
        <v>529</v>
      </c>
      <c r="D14" s="202">
        <v>3000</v>
      </c>
      <c r="F14" s="194">
        <v>5</v>
      </c>
      <c r="G14" s="197" t="s">
        <v>166</v>
      </c>
      <c r="H14" s="204">
        <v>31</v>
      </c>
      <c r="J14" s="206">
        <f t="shared" si="10"/>
        <v>2021.11</v>
      </c>
      <c r="K14" s="204">
        <f t="shared" si="11"/>
        <v>2021</v>
      </c>
      <c r="L14" s="204">
        <v>11</v>
      </c>
      <c r="M14" s="205" t="s">
        <v>529</v>
      </c>
      <c r="N14" s="203">
        <f t="shared" si="1"/>
        <v>3000</v>
      </c>
      <c r="O14" s="203">
        <f t="shared" si="2"/>
        <v>3000</v>
      </c>
      <c r="P14" s="203">
        <f t="shared" si="3"/>
        <v>0</v>
      </c>
      <c r="Q14" s="203">
        <f t="shared" si="4"/>
        <v>250</v>
      </c>
      <c r="R14" s="194">
        <f t="shared" si="5"/>
        <v>2022</v>
      </c>
      <c r="S14" s="194">
        <f t="shared" si="6"/>
        <v>10</v>
      </c>
      <c r="T14" s="174">
        <f t="shared" si="7"/>
        <v>0</v>
      </c>
      <c r="U14" s="174">
        <f t="shared" si="7"/>
        <v>0</v>
      </c>
      <c r="V14" s="174">
        <f t="shared" si="7"/>
        <v>0</v>
      </c>
      <c r="W14" s="174">
        <f t="shared" si="7"/>
        <v>0</v>
      </c>
      <c r="X14" s="174">
        <f t="shared" si="7"/>
        <v>0</v>
      </c>
      <c r="Y14" s="174">
        <f t="shared" si="7"/>
        <v>0</v>
      </c>
      <c r="Z14" s="174">
        <f t="shared" si="7"/>
        <v>0</v>
      </c>
      <c r="AA14" s="174">
        <f t="shared" si="7"/>
        <v>0</v>
      </c>
      <c r="AB14" s="174">
        <f t="shared" si="7"/>
        <v>0</v>
      </c>
      <c r="AC14" s="174">
        <f t="shared" si="7"/>
        <v>0</v>
      </c>
      <c r="AD14" s="174">
        <f t="shared" si="7"/>
        <v>0</v>
      </c>
      <c r="AE14" s="174">
        <f t="shared" si="7"/>
        <v>0</v>
      </c>
      <c r="AF14" s="174">
        <f t="shared" si="8"/>
        <v>0</v>
      </c>
    </row>
    <row r="15" spans="1:32" outlineLevel="1" x14ac:dyDescent="0.35">
      <c r="A15" s="204">
        <f t="shared" si="9"/>
        <v>2021</v>
      </c>
      <c r="B15" s="204">
        <v>12</v>
      </c>
      <c r="C15" s="205" t="s">
        <v>523</v>
      </c>
      <c r="D15" s="207">
        <v>3000</v>
      </c>
      <c r="F15" s="194">
        <v>6</v>
      </c>
      <c r="G15" s="197" t="s">
        <v>304</v>
      </c>
      <c r="H15" s="204">
        <v>30</v>
      </c>
      <c r="J15" s="206">
        <f t="shared" si="10"/>
        <v>2021.12</v>
      </c>
      <c r="K15" s="204">
        <f t="shared" si="11"/>
        <v>2021</v>
      </c>
      <c r="L15" s="204">
        <v>12</v>
      </c>
      <c r="M15" s="205" t="s">
        <v>523</v>
      </c>
      <c r="N15" s="203">
        <f t="shared" si="1"/>
        <v>3000</v>
      </c>
      <c r="O15" s="203">
        <f t="shared" si="2"/>
        <v>3000</v>
      </c>
      <c r="P15" s="203">
        <f t="shared" si="3"/>
        <v>0</v>
      </c>
      <c r="Q15" s="203">
        <f t="shared" si="4"/>
        <v>250</v>
      </c>
      <c r="R15" s="194">
        <f t="shared" si="5"/>
        <v>2022</v>
      </c>
      <c r="S15" s="194">
        <f t="shared" si="6"/>
        <v>11</v>
      </c>
      <c r="T15" s="174">
        <f t="shared" si="7"/>
        <v>0</v>
      </c>
      <c r="U15" s="174">
        <f t="shared" si="7"/>
        <v>0</v>
      </c>
      <c r="V15" s="174">
        <f t="shared" si="7"/>
        <v>0</v>
      </c>
      <c r="W15" s="174">
        <f t="shared" si="7"/>
        <v>0</v>
      </c>
      <c r="X15" s="174">
        <f t="shared" si="7"/>
        <v>0</v>
      </c>
      <c r="Y15" s="174">
        <f t="shared" si="7"/>
        <v>0</v>
      </c>
      <c r="Z15" s="174">
        <f t="shared" si="7"/>
        <v>0</v>
      </c>
      <c r="AA15" s="174">
        <f t="shared" si="7"/>
        <v>0</v>
      </c>
      <c r="AB15" s="174">
        <f t="shared" si="7"/>
        <v>0</v>
      </c>
      <c r="AC15" s="174">
        <f t="shared" si="7"/>
        <v>0</v>
      </c>
      <c r="AD15" s="174">
        <f t="shared" si="7"/>
        <v>0</v>
      </c>
      <c r="AE15" s="174">
        <f t="shared" si="7"/>
        <v>0</v>
      </c>
      <c r="AF15" s="174">
        <f t="shared" si="8"/>
        <v>0</v>
      </c>
    </row>
    <row r="16" spans="1:32" x14ac:dyDescent="0.35">
      <c r="A16" s="208">
        <f t="shared" si="9"/>
        <v>2021</v>
      </c>
      <c r="B16" s="208"/>
      <c r="C16" s="209" t="s">
        <v>116</v>
      </c>
      <c r="D16" s="210">
        <f>SUM(D10:D15)</f>
        <v>547000</v>
      </c>
      <c r="F16" s="194">
        <v>7</v>
      </c>
      <c r="G16" s="197" t="s">
        <v>343</v>
      </c>
      <c r="H16" s="204">
        <v>31</v>
      </c>
      <c r="J16" s="211"/>
      <c r="K16" s="208">
        <f t="shared" si="11"/>
        <v>2021</v>
      </c>
      <c r="L16" s="208"/>
      <c r="M16" s="209" t="s">
        <v>116</v>
      </c>
      <c r="N16" s="210">
        <f>SUM(N10:N15)</f>
        <v>547000</v>
      </c>
      <c r="O16" s="210">
        <f>SUM(O10:O15)</f>
        <v>547000</v>
      </c>
      <c r="P16" s="210">
        <f>SUM(P10:P15)</f>
        <v>0</v>
      </c>
      <c r="Q16" s="210">
        <f>SUM(Q10:Q15)</f>
        <v>45583.34</v>
      </c>
      <c r="R16" s="210"/>
      <c r="S16" s="210"/>
      <c r="T16" s="210">
        <f t="shared" ref="T16:AF16" si="12">SUM(T10:T15)</f>
        <v>0</v>
      </c>
      <c r="U16" s="210">
        <f t="shared" si="12"/>
        <v>0</v>
      </c>
      <c r="V16" s="210">
        <f t="shared" si="12"/>
        <v>0</v>
      </c>
      <c r="W16" s="210">
        <f t="shared" si="12"/>
        <v>0</v>
      </c>
      <c r="X16" s="210">
        <f t="shared" si="12"/>
        <v>0</v>
      </c>
      <c r="Y16" s="210">
        <f t="shared" si="12"/>
        <v>0</v>
      </c>
      <c r="Z16" s="210">
        <f t="shared" si="12"/>
        <v>0</v>
      </c>
      <c r="AA16" s="210">
        <f t="shared" si="12"/>
        <v>0</v>
      </c>
      <c r="AB16" s="210">
        <f t="shared" si="12"/>
        <v>0</v>
      </c>
      <c r="AC16" s="210">
        <f t="shared" si="12"/>
        <v>0</v>
      </c>
      <c r="AD16" s="210">
        <f t="shared" si="12"/>
        <v>0</v>
      </c>
      <c r="AE16" s="210">
        <f t="shared" si="12"/>
        <v>0</v>
      </c>
      <c r="AF16" s="210">
        <f t="shared" si="12"/>
        <v>0</v>
      </c>
    </row>
    <row r="17" spans="1:32" outlineLevel="1" x14ac:dyDescent="0.35">
      <c r="A17" s="194">
        <f>+A16+1</f>
        <v>2022</v>
      </c>
      <c r="B17" s="194">
        <v>1</v>
      </c>
      <c r="C17" s="195" t="s">
        <v>524</v>
      </c>
      <c r="D17" s="196">
        <v>3000</v>
      </c>
      <c r="F17" s="194">
        <v>8</v>
      </c>
      <c r="G17" s="197" t="s">
        <v>526</v>
      </c>
      <c r="H17" s="204">
        <v>31</v>
      </c>
      <c r="J17" s="198">
        <f t="shared" si="10"/>
        <v>2022.01</v>
      </c>
      <c r="K17" s="194">
        <f>+K16+1</f>
        <v>2022</v>
      </c>
      <c r="L17" s="194">
        <v>1</v>
      </c>
      <c r="M17" s="195" t="s">
        <v>524</v>
      </c>
      <c r="N17" s="199">
        <f>IF(I$3-J17&gt;=0,D17,0)</f>
        <v>3000</v>
      </c>
      <c r="O17" s="200">
        <f t="shared" ref="O17:O28" si="13">IF((H$3-K17)*12+(H$2-L17+1)&gt;=$H$6,N17,IF((H$3-K17)*12+(H$2-L17+1)&lt;0,0,((H$3-K17)*12+(H$2-L17+1))*Q17))</f>
        <v>3000</v>
      </c>
      <c r="P17" s="201">
        <f t="shared" ref="P17:P28" si="14">+N17-O17</f>
        <v>0</v>
      </c>
      <c r="Q17" s="201">
        <f t="shared" ref="Q17:Q28" si="15">ROUND(N17/H$6,2)</f>
        <v>250</v>
      </c>
      <c r="R17" s="194">
        <f>+R15</f>
        <v>2022</v>
      </c>
      <c r="S17" s="194">
        <f>+S15+1</f>
        <v>12</v>
      </c>
      <c r="T17" s="200">
        <f t="shared" ref="T17:AE32" si="16">IF($H$3=$K17,IF(T$8&lt;$L17,0,$Q17))+IF($H$3&lt;$R17,$Q17,0)+IF($H$3=$R17,IF(T$8&lt;$S17,$Q17,0))+IF($H$3=$R17,IF(T$8=$S17,$Q17+($N17-$Q17*$H$6),IF($H$3&gt;$R17,0)))+IF($O17=0,-$Q17,IF($H$3&gt;$K17,0,-$Q17))</f>
        <v>0</v>
      </c>
      <c r="U17" s="200">
        <f t="shared" si="16"/>
        <v>0</v>
      </c>
      <c r="V17" s="200">
        <f t="shared" si="16"/>
        <v>0</v>
      </c>
      <c r="W17" s="200">
        <f t="shared" si="16"/>
        <v>0</v>
      </c>
      <c r="X17" s="200">
        <f t="shared" si="16"/>
        <v>0</v>
      </c>
      <c r="Y17" s="200">
        <f t="shared" si="16"/>
        <v>0</v>
      </c>
      <c r="Z17" s="200">
        <f t="shared" si="16"/>
        <v>0</v>
      </c>
      <c r="AA17" s="200">
        <f t="shared" si="16"/>
        <v>0</v>
      </c>
      <c r="AB17" s="200">
        <f t="shared" si="16"/>
        <v>0</v>
      </c>
      <c r="AC17" s="200">
        <f t="shared" si="16"/>
        <v>0</v>
      </c>
      <c r="AD17" s="200">
        <f t="shared" si="16"/>
        <v>0</v>
      </c>
      <c r="AE17" s="200">
        <f t="shared" si="16"/>
        <v>0</v>
      </c>
      <c r="AF17" s="200">
        <f t="shared" ref="AF17:AF28" si="17">SUM(T17:AE17)</f>
        <v>0</v>
      </c>
    </row>
    <row r="18" spans="1:32" outlineLevel="1" x14ac:dyDescent="0.35">
      <c r="A18" s="194">
        <f>+A17</f>
        <v>2022</v>
      </c>
      <c r="B18" s="194">
        <v>2</v>
      </c>
      <c r="C18" s="195" t="s">
        <v>525</v>
      </c>
      <c r="D18" s="202">
        <v>3000</v>
      </c>
      <c r="F18" s="194">
        <v>9</v>
      </c>
      <c r="G18" s="197" t="s">
        <v>527</v>
      </c>
      <c r="H18" s="204">
        <v>30</v>
      </c>
      <c r="J18" s="198">
        <f t="shared" si="10"/>
        <v>2022.02</v>
      </c>
      <c r="K18" s="194">
        <f>+K17</f>
        <v>2022</v>
      </c>
      <c r="L18" s="194">
        <v>2</v>
      </c>
      <c r="M18" s="195" t="s">
        <v>525</v>
      </c>
      <c r="N18" s="203">
        <f t="shared" ref="N18:N28" si="18">IF(I$3-J18&gt;=0,D18,0)</f>
        <v>3000</v>
      </c>
      <c r="O18" s="203">
        <f t="shared" si="13"/>
        <v>3000</v>
      </c>
      <c r="P18" s="203">
        <f t="shared" si="14"/>
        <v>0</v>
      </c>
      <c r="Q18" s="203">
        <f t="shared" si="15"/>
        <v>250</v>
      </c>
      <c r="R18" s="194">
        <f t="shared" ref="R18:R28" si="19">+K18+H$5</f>
        <v>2023</v>
      </c>
      <c r="S18" s="194">
        <f t="shared" ref="S18:S28" si="20">+L18-1</f>
        <v>1</v>
      </c>
      <c r="T18" s="174">
        <f t="shared" si="16"/>
        <v>0</v>
      </c>
      <c r="U18" s="174">
        <f t="shared" si="16"/>
        <v>0</v>
      </c>
      <c r="V18" s="174">
        <f t="shared" si="16"/>
        <v>0</v>
      </c>
      <c r="W18" s="174">
        <f t="shared" si="16"/>
        <v>0</v>
      </c>
      <c r="X18" s="174">
        <f t="shared" si="16"/>
        <v>0</v>
      </c>
      <c r="Y18" s="174">
        <f t="shared" si="16"/>
        <v>0</v>
      </c>
      <c r="Z18" s="174">
        <f t="shared" si="16"/>
        <v>0</v>
      </c>
      <c r="AA18" s="174">
        <f t="shared" si="16"/>
        <v>0</v>
      </c>
      <c r="AB18" s="174">
        <f t="shared" si="16"/>
        <v>0</v>
      </c>
      <c r="AC18" s="174">
        <f t="shared" si="16"/>
        <v>0</v>
      </c>
      <c r="AD18" s="174">
        <f t="shared" si="16"/>
        <v>0</v>
      </c>
      <c r="AE18" s="174">
        <f t="shared" si="16"/>
        <v>0</v>
      </c>
      <c r="AF18" s="174">
        <f t="shared" si="17"/>
        <v>0</v>
      </c>
    </row>
    <row r="19" spans="1:32" outlineLevel="1" x14ac:dyDescent="0.35">
      <c r="A19" s="194">
        <f t="shared" ref="A19:A28" si="21">+A18</f>
        <v>2022</v>
      </c>
      <c r="B19" s="194">
        <v>3</v>
      </c>
      <c r="C19" s="195" t="s">
        <v>302</v>
      </c>
      <c r="D19" s="212">
        <v>-81086.89</v>
      </c>
      <c r="F19" s="204">
        <v>10</v>
      </c>
      <c r="G19" s="213" t="s">
        <v>528</v>
      </c>
      <c r="H19" s="204">
        <v>31</v>
      </c>
      <c r="J19" s="198">
        <f t="shared" si="10"/>
        <v>2022.03</v>
      </c>
      <c r="K19" s="194">
        <f t="shared" ref="K19:K28" si="22">+K18</f>
        <v>2022</v>
      </c>
      <c r="L19" s="194">
        <v>3</v>
      </c>
      <c r="M19" s="195" t="s">
        <v>302</v>
      </c>
      <c r="N19" s="203">
        <f t="shared" si="18"/>
        <v>-81086.89</v>
      </c>
      <c r="O19" s="203">
        <f t="shared" si="13"/>
        <v>-81086.89</v>
      </c>
      <c r="P19" s="203">
        <f t="shared" si="14"/>
        <v>0</v>
      </c>
      <c r="Q19" s="203">
        <f t="shared" si="15"/>
        <v>-6757.24</v>
      </c>
      <c r="R19" s="194">
        <f t="shared" si="19"/>
        <v>2023</v>
      </c>
      <c r="S19" s="194">
        <f t="shared" si="20"/>
        <v>2</v>
      </c>
      <c r="T19" s="174">
        <f t="shared" si="16"/>
        <v>0</v>
      </c>
      <c r="U19" s="174">
        <f t="shared" si="16"/>
        <v>0</v>
      </c>
      <c r="V19" s="174">
        <f t="shared" si="16"/>
        <v>0</v>
      </c>
      <c r="W19" s="174">
        <f t="shared" si="16"/>
        <v>0</v>
      </c>
      <c r="X19" s="174">
        <f t="shared" si="16"/>
        <v>0</v>
      </c>
      <c r="Y19" s="174">
        <f t="shared" si="16"/>
        <v>0</v>
      </c>
      <c r="Z19" s="174">
        <f t="shared" si="16"/>
        <v>0</v>
      </c>
      <c r="AA19" s="174">
        <f t="shared" si="16"/>
        <v>0</v>
      </c>
      <c r="AB19" s="174">
        <f t="shared" si="16"/>
        <v>0</v>
      </c>
      <c r="AC19" s="174">
        <f t="shared" si="16"/>
        <v>0</v>
      </c>
      <c r="AD19" s="174">
        <f t="shared" si="16"/>
        <v>0</v>
      </c>
      <c r="AE19" s="174">
        <f t="shared" si="16"/>
        <v>0</v>
      </c>
      <c r="AF19" s="174">
        <f t="shared" si="17"/>
        <v>0</v>
      </c>
    </row>
    <row r="20" spans="1:32" outlineLevel="1" x14ac:dyDescent="0.35">
      <c r="A20" s="194">
        <f t="shared" si="21"/>
        <v>2022</v>
      </c>
      <c r="B20" s="194">
        <v>4</v>
      </c>
      <c r="C20" s="195" t="s">
        <v>303</v>
      </c>
      <c r="D20" s="212">
        <v>2142.11</v>
      </c>
      <c r="F20" s="204">
        <v>11</v>
      </c>
      <c r="G20" s="213" t="s">
        <v>529</v>
      </c>
      <c r="H20" s="204">
        <v>30</v>
      </c>
      <c r="J20" s="198">
        <f t="shared" si="10"/>
        <v>2022.04</v>
      </c>
      <c r="K20" s="194">
        <f t="shared" si="22"/>
        <v>2022</v>
      </c>
      <c r="L20" s="194">
        <v>4</v>
      </c>
      <c r="M20" s="195" t="s">
        <v>303</v>
      </c>
      <c r="N20" s="203">
        <f t="shared" si="18"/>
        <v>2142.11</v>
      </c>
      <c r="O20" s="203">
        <f t="shared" si="13"/>
        <v>2142.11</v>
      </c>
      <c r="P20" s="203">
        <f t="shared" si="14"/>
        <v>0</v>
      </c>
      <c r="Q20" s="203">
        <f t="shared" si="15"/>
        <v>178.51</v>
      </c>
      <c r="R20" s="194">
        <f t="shared" si="19"/>
        <v>2023</v>
      </c>
      <c r="S20" s="194">
        <f t="shared" si="20"/>
        <v>3</v>
      </c>
      <c r="T20" s="174">
        <f t="shared" si="16"/>
        <v>0</v>
      </c>
      <c r="U20" s="174">
        <f t="shared" si="16"/>
        <v>0</v>
      </c>
      <c r="V20" s="174">
        <f t="shared" si="16"/>
        <v>0</v>
      </c>
      <c r="W20" s="174">
        <f t="shared" si="16"/>
        <v>0</v>
      </c>
      <c r="X20" s="174">
        <f t="shared" si="16"/>
        <v>0</v>
      </c>
      <c r="Y20" s="174">
        <f t="shared" si="16"/>
        <v>0</v>
      </c>
      <c r="Z20" s="174">
        <f t="shared" si="16"/>
        <v>0</v>
      </c>
      <c r="AA20" s="174">
        <f t="shared" si="16"/>
        <v>0</v>
      </c>
      <c r="AB20" s="174">
        <f t="shared" si="16"/>
        <v>0</v>
      </c>
      <c r="AC20" s="174">
        <f t="shared" si="16"/>
        <v>0</v>
      </c>
      <c r="AD20" s="174">
        <f t="shared" si="16"/>
        <v>0</v>
      </c>
      <c r="AE20" s="174">
        <f t="shared" si="16"/>
        <v>0</v>
      </c>
      <c r="AF20" s="174">
        <f t="shared" si="17"/>
        <v>0</v>
      </c>
    </row>
    <row r="21" spans="1:32" outlineLevel="1" x14ac:dyDescent="0.35">
      <c r="A21" s="194">
        <f t="shared" si="21"/>
        <v>2022</v>
      </c>
      <c r="B21" s="194">
        <v>5</v>
      </c>
      <c r="C21" s="195" t="s">
        <v>166</v>
      </c>
      <c r="D21" s="212">
        <v>-41485.49</v>
      </c>
      <c r="F21" s="204">
        <v>12</v>
      </c>
      <c r="G21" s="213" t="s">
        <v>523</v>
      </c>
      <c r="H21" s="204">
        <v>31</v>
      </c>
      <c r="J21" s="198">
        <f t="shared" si="10"/>
        <v>2022.05</v>
      </c>
      <c r="K21" s="194">
        <f t="shared" si="22"/>
        <v>2022</v>
      </c>
      <c r="L21" s="194">
        <v>5</v>
      </c>
      <c r="M21" s="195" t="s">
        <v>166</v>
      </c>
      <c r="N21" s="203">
        <f t="shared" si="18"/>
        <v>-41485.49</v>
      </c>
      <c r="O21" s="203">
        <f t="shared" si="13"/>
        <v>-41485.49</v>
      </c>
      <c r="P21" s="203">
        <f t="shared" si="14"/>
        <v>0</v>
      </c>
      <c r="Q21" s="203">
        <f t="shared" si="15"/>
        <v>-3457.12</v>
      </c>
      <c r="R21" s="194">
        <f t="shared" si="19"/>
        <v>2023</v>
      </c>
      <c r="S21" s="194">
        <f t="shared" si="20"/>
        <v>4</v>
      </c>
      <c r="T21" s="174">
        <f t="shared" si="16"/>
        <v>0</v>
      </c>
      <c r="U21" s="174">
        <f t="shared" si="16"/>
        <v>0</v>
      </c>
      <c r="V21" s="174">
        <f t="shared" si="16"/>
        <v>0</v>
      </c>
      <c r="W21" s="174">
        <f t="shared" si="16"/>
        <v>0</v>
      </c>
      <c r="X21" s="174">
        <f t="shared" si="16"/>
        <v>0</v>
      </c>
      <c r="Y21" s="174">
        <f t="shared" si="16"/>
        <v>0</v>
      </c>
      <c r="Z21" s="174">
        <f t="shared" si="16"/>
        <v>0</v>
      </c>
      <c r="AA21" s="174">
        <f t="shared" si="16"/>
        <v>0</v>
      </c>
      <c r="AB21" s="174">
        <f t="shared" si="16"/>
        <v>0</v>
      </c>
      <c r="AC21" s="174">
        <f t="shared" si="16"/>
        <v>0</v>
      </c>
      <c r="AD21" s="174">
        <f t="shared" si="16"/>
        <v>0</v>
      </c>
      <c r="AE21" s="174">
        <f t="shared" si="16"/>
        <v>0</v>
      </c>
      <c r="AF21" s="174">
        <f t="shared" si="17"/>
        <v>0</v>
      </c>
    </row>
    <row r="22" spans="1:32" ht="15" outlineLevel="1" thickBot="1" x14ac:dyDescent="0.4">
      <c r="A22" s="194">
        <f t="shared" si="21"/>
        <v>2022</v>
      </c>
      <c r="B22" s="194">
        <v>6</v>
      </c>
      <c r="C22" s="195" t="s">
        <v>304</v>
      </c>
      <c r="D22" s="202">
        <v>-40161.97</v>
      </c>
      <c r="J22" s="198">
        <f t="shared" si="10"/>
        <v>2022.06</v>
      </c>
      <c r="K22" s="194">
        <f t="shared" si="22"/>
        <v>2022</v>
      </c>
      <c r="L22" s="194">
        <v>6</v>
      </c>
      <c r="M22" s="195" t="s">
        <v>304</v>
      </c>
      <c r="N22" s="203">
        <f t="shared" si="18"/>
        <v>-40161.97</v>
      </c>
      <c r="O22" s="203">
        <f t="shared" si="13"/>
        <v>-40161.97</v>
      </c>
      <c r="P22" s="203">
        <f t="shared" si="14"/>
        <v>0</v>
      </c>
      <c r="Q22" s="203">
        <f t="shared" si="15"/>
        <v>-3346.83</v>
      </c>
      <c r="R22" s="194">
        <f t="shared" si="19"/>
        <v>2023</v>
      </c>
      <c r="S22" s="194">
        <f t="shared" si="20"/>
        <v>5</v>
      </c>
      <c r="T22" s="174">
        <f t="shared" si="16"/>
        <v>0</v>
      </c>
      <c r="U22" s="174">
        <f t="shared" si="16"/>
        <v>0</v>
      </c>
      <c r="V22" s="174">
        <f t="shared" si="16"/>
        <v>0</v>
      </c>
      <c r="W22" s="174">
        <f t="shared" si="16"/>
        <v>0</v>
      </c>
      <c r="X22" s="174">
        <f t="shared" si="16"/>
        <v>0</v>
      </c>
      <c r="Y22" s="174">
        <f t="shared" si="16"/>
        <v>0</v>
      </c>
      <c r="Z22" s="174">
        <f t="shared" si="16"/>
        <v>0</v>
      </c>
      <c r="AA22" s="174">
        <f t="shared" si="16"/>
        <v>0</v>
      </c>
      <c r="AB22" s="174">
        <f t="shared" si="16"/>
        <v>0</v>
      </c>
      <c r="AC22" s="174">
        <f t="shared" si="16"/>
        <v>0</v>
      </c>
      <c r="AD22" s="174">
        <f t="shared" si="16"/>
        <v>0</v>
      </c>
      <c r="AE22" s="174">
        <f t="shared" si="16"/>
        <v>0</v>
      </c>
      <c r="AF22" s="174">
        <f t="shared" si="17"/>
        <v>0</v>
      </c>
    </row>
    <row r="23" spans="1:32" ht="15" outlineLevel="1" thickBot="1" x14ac:dyDescent="0.4">
      <c r="A23" s="194">
        <f t="shared" si="21"/>
        <v>2022</v>
      </c>
      <c r="B23" s="194">
        <v>7</v>
      </c>
      <c r="C23" s="195" t="s">
        <v>343</v>
      </c>
      <c r="D23" s="202">
        <v>-44456.76</v>
      </c>
      <c r="G23" s="277" t="s">
        <v>530</v>
      </c>
      <c r="J23" s="198">
        <f t="shared" si="10"/>
        <v>2022.07</v>
      </c>
      <c r="K23" s="194">
        <f t="shared" si="22"/>
        <v>2022</v>
      </c>
      <c r="L23" s="194">
        <v>7</v>
      </c>
      <c r="M23" s="195" t="s">
        <v>343</v>
      </c>
      <c r="N23" s="203">
        <f t="shared" si="18"/>
        <v>-44456.76</v>
      </c>
      <c r="O23" s="203">
        <f t="shared" si="13"/>
        <v>-44456.76</v>
      </c>
      <c r="P23" s="203">
        <f t="shared" si="14"/>
        <v>0</v>
      </c>
      <c r="Q23" s="203">
        <f t="shared" si="15"/>
        <v>-3704.73</v>
      </c>
      <c r="R23" s="194">
        <f t="shared" si="19"/>
        <v>2023</v>
      </c>
      <c r="S23" s="194">
        <f t="shared" si="20"/>
        <v>6</v>
      </c>
      <c r="T23" s="174">
        <f t="shared" si="16"/>
        <v>0</v>
      </c>
      <c r="U23" s="174">
        <f t="shared" si="16"/>
        <v>0</v>
      </c>
      <c r="V23" s="174">
        <f t="shared" si="16"/>
        <v>0</v>
      </c>
      <c r="W23" s="174">
        <f t="shared" si="16"/>
        <v>0</v>
      </c>
      <c r="X23" s="174">
        <f t="shared" si="16"/>
        <v>0</v>
      </c>
      <c r="Y23" s="174">
        <f t="shared" si="16"/>
        <v>0</v>
      </c>
      <c r="Z23" s="174">
        <f t="shared" si="16"/>
        <v>0</v>
      </c>
      <c r="AA23" s="174">
        <f t="shared" si="16"/>
        <v>0</v>
      </c>
      <c r="AB23" s="174">
        <f t="shared" si="16"/>
        <v>0</v>
      </c>
      <c r="AC23" s="174">
        <f t="shared" si="16"/>
        <v>0</v>
      </c>
      <c r="AD23" s="174">
        <f t="shared" si="16"/>
        <v>0</v>
      </c>
      <c r="AE23" s="174">
        <f t="shared" si="16"/>
        <v>0</v>
      </c>
      <c r="AF23" s="174">
        <f t="shared" si="17"/>
        <v>0</v>
      </c>
    </row>
    <row r="24" spans="1:32" outlineLevel="1" x14ac:dyDescent="0.35">
      <c r="A24" s="194">
        <f t="shared" si="21"/>
        <v>2022</v>
      </c>
      <c r="B24" s="194">
        <v>8</v>
      </c>
      <c r="C24" s="195" t="s">
        <v>526</v>
      </c>
      <c r="D24" s="202">
        <v>-101099.04</v>
      </c>
      <c r="G24" s="214" t="s">
        <v>531</v>
      </c>
      <c r="J24" s="198">
        <f t="shared" si="10"/>
        <v>2022.08</v>
      </c>
      <c r="K24" s="194">
        <f t="shared" si="22"/>
        <v>2022</v>
      </c>
      <c r="L24" s="194">
        <v>8</v>
      </c>
      <c r="M24" s="195" t="s">
        <v>526</v>
      </c>
      <c r="N24" s="203">
        <f t="shared" si="18"/>
        <v>-101099.04</v>
      </c>
      <c r="O24" s="203">
        <f t="shared" si="13"/>
        <v>-101099.04</v>
      </c>
      <c r="P24" s="203">
        <f t="shared" si="14"/>
        <v>0</v>
      </c>
      <c r="Q24" s="203">
        <f t="shared" si="15"/>
        <v>-8424.92</v>
      </c>
      <c r="R24" s="194">
        <f t="shared" si="19"/>
        <v>2023</v>
      </c>
      <c r="S24" s="194">
        <f t="shared" si="20"/>
        <v>7</v>
      </c>
      <c r="T24" s="174">
        <f t="shared" si="16"/>
        <v>0</v>
      </c>
      <c r="U24" s="174">
        <f t="shared" si="16"/>
        <v>0</v>
      </c>
      <c r="V24" s="174">
        <f t="shared" si="16"/>
        <v>0</v>
      </c>
      <c r="W24" s="174">
        <f t="shared" si="16"/>
        <v>0</v>
      </c>
      <c r="X24" s="174">
        <f t="shared" si="16"/>
        <v>0</v>
      </c>
      <c r="Y24" s="174">
        <f t="shared" si="16"/>
        <v>0</v>
      </c>
      <c r="Z24" s="174">
        <f t="shared" si="16"/>
        <v>0</v>
      </c>
      <c r="AA24" s="174">
        <f t="shared" si="16"/>
        <v>0</v>
      </c>
      <c r="AB24" s="174">
        <f t="shared" si="16"/>
        <v>0</v>
      </c>
      <c r="AC24" s="174">
        <f t="shared" si="16"/>
        <v>0</v>
      </c>
      <c r="AD24" s="174">
        <f t="shared" si="16"/>
        <v>0</v>
      </c>
      <c r="AE24" s="174">
        <f t="shared" si="16"/>
        <v>0</v>
      </c>
      <c r="AF24" s="174">
        <f t="shared" si="17"/>
        <v>0</v>
      </c>
    </row>
    <row r="25" spans="1:32" outlineLevel="1" x14ac:dyDescent="0.35">
      <c r="A25" s="194">
        <f t="shared" si="21"/>
        <v>2022</v>
      </c>
      <c r="B25" s="194">
        <v>9</v>
      </c>
      <c r="C25" s="195" t="s">
        <v>527</v>
      </c>
      <c r="D25" s="202">
        <v>-74985.33</v>
      </c>
      <c r="G25" s="214">
        <v>2021</v>
      </c>
      <c r="J25" s="198">
        <f t="shared" si="10"/>
        <v>2022.09</v>
      </c>
      <c r="K25" s="194">
        <f t="shared" si="22"/>
        <v>2022</v>
      </c>
      <c r="L25" s="194">
        <v>9</v>
      </c>
      <c r="M25" s="195" t="s">
        <v>527</v>
      </c>
      <c r="N25" s="203">
        <f t="shared" si="18"/>
        <v>-74985.33</v>
      </c>
      <c r="O25" s="203">
        <f t="shared" si="13"/>
        <v>-74985.33</v>
      </c>
      <c r="P25" s="203">
        <f t="shared" si="14"/>
        <v>0</v>
      </c>
      <c r="Q25" s="203">
        <f t="shared" si="15"/>
        <v>-6248.78</v>
      </c>
      <c r="R25" s="194">
        <f t="shared" si="19"/>
        <v>2023</v>
      </c>
      <c r="S25" s="194">
        <f t="shared" si="20"/>
        <v>8</v>
      </c>
      <c r="T25" s="174">
        <f t="shared" si="16"/>
        <v>0</v>
      </c>
      <c r="U25" s="174">
        <f t="shared" si="16"/>
        <v>0</v>
      </c>
      <c r="V25" s="174">
        <f t="shared" si="16"/>
        <v>0</v>
      </c>
      <c r="W25" s="174">
        <f t="shared" si="16"/>
        <v>0</v>
      </c>
      <c r="X25" s="174">
        <f t="shared" si="16"/>
        <v>0</v>
      </c>
      <c r="Y25" s="174">
        <f t="shared" si="16"/>
        <v>0</v>
      </c>
      <c r="Z25" s="174">
        <f t="shared" si="16"/>
        <v>0</v>
      </c>
      <c r="AA25" s="174">
        <f t="shared" si="16"/>
        <v>0</v>
      </c>
      <c r="AB25" s="174">
        <f t="shared" si="16"/>
        <v>0</v>
      </c>
      <c r="AC25" s="174">
        <f t="shared" si="16"/>
        <v>0</v>
      </c>
      <c r="AD25" s="174">
        <f t="shared" si="16"/>
        <v>0</v>
      </c>
      <c r="AE25" s="174">
        <f t="shared" si="16"/>
        <v>0</v>
      </c>
      <c r="AF25" s="174">
        <f t="shared" si="17"/>
        <v>0</v>
      </c>
    </row>
    <row r="26" spans="1:32" outlineLevel="1" x14ac:dyDescent="0.35">
      <c r="A26" s="194">
        <f t="shared" si="21"/>
        <v>2022</v>
      </c>
      <c r="B26" s="204">
        <v>10</v>
      </c>
      <c r="C26" s="205" t="s">
        <v>528</v>
      </c>
      <c r="D26" s="202">
        <v>182292.83</v>
      </c>
      <c r="G26" s="214" t="s">
        <v>532</v>
      </c>
      <c r="J26" s="198">
        <f t="shared" si="10"/>
        <v>2022.1</v>
      </c>
      <c r="K26" s="194">
        <f t="shared" si="22"/>
        <v>2022</v>
      </c>
      <c r="L26" s="204">
        <v>10</v>
      </c>
      <c r="M26" s="205" t="s">
        <v>528</v>
      </c>
      <c r="N26" s="203">
        <f t="shared" si="18"/>
        <v>182292.83</v>
      </c>
      <c r="O26" s="203">
        <f t="shared" si="13"/>
        <v>182292.83</v>
      </c>
      <c r="P26" s="203">
        <f t="shared" si="14"/>
        <v>0</v>
      </c>
      <c r="Q26" s="203">
        <f t="shared" si="15"/>
        <v>15191.07</v>
      </c>
      <c r="R26" s="194">
        <f t="shared" si="19"/>
        <v>2023</v>
      </c>
      <c r="S26" s="194">
        <f t="shared" si="20"/>
        <v>9</v>
      </c>
      <c r="T26" s="174">
        <f t="shared" si="16"/>
        <v>0</v>
      </c>
      <c r="U26" s="174">
        <f t="shared" si="16"/>
        <v>0</v>
      </c>
      <c r="V26" s="174">
        <f t="shared" si="16"/>
        <v>0</v>
      </c>
      <c r="W26" s="174">
        <f t="shared" si="16"/>
        <v>0</v>
      </c>
      <c r="X26" s="174">
        <f t="shared" si="16"/>
        <v>0</v>
      </c>
      <c r="Y26" s="174">
        <f t="shared" si="16"/>
        <v>0</v>
      </c>
      <c r="Z26" s="174">
        <f t="shared" si="16"/>
        <v>0</v>
      </c>
      <c r="AA26" s="174">
        <f t="shared" si="16"/>
        <v>0</v>
      </c>
      <c r="AB26" s="174">
        <f t="shared" si="16"/>
        <v>0</v>
      </c>
      <c r="AC26" s="174">
        <f t="shared" si="16"/>
        <v>0</v>
      </c>
      <c r="AD26" s="174">
        <f t="shared" si="16"/>
        <v>0</v>
      </c>
      <c r="AE26" s="174">
        <f t="shared" si="16"/>
        <v>0</v>
      </c>
      <c r="AF26" s="174">
        <f t="shared" si="17"/>
        <v>0</v>
      </c>
    </row>
    <row r="27" spans="1:32" outlineLevel="1" x14ac:dyDescent="0.35">
      <c r="A27" s="194">
        <f t="shared" si="21"/>
        <v>2022</v>
      </c>
      <c r="B27" s="204">
        <v>11</v>
      </c>
      <c r="C27" s="205" t="s">
        <v>529</v>
      </c>
      <c r="D27" s="202">
        <v>-81946.25</v>
      </c>
      <c r="G27" s="214">
        <v>2031</v>
      </c>
      <c r="J27" s="198">
        <f t="shared" si="10"/>
        <v>2022.11</v>
      </c>
      <c r="K27" s="194">
        <f t="shared" si="22"/>
        <v>2022</v>
      </c>
      <c r="L27" s="204">
        <v>11</v>
      </c>
      <c r="M27" s="205" t="s">
        <v>529</v>
      </c>
      <c r="N27" s="203">
        <f t="shared" si="18"/>
        <v>-81946.25</v>
      </c>
      <c r="O27" s="203">
        <f t="shared" si="13"/>
        <v>-81946.25</v>
      </c>
      <c r="P27" s="203">
        <f t="shared" si="14"/>
        <v>0</v>
      </c>
      <c r="Q27" s="203">
        <f t="shared" si="15"/>
        <v>-6828.85</v>
      </c>
      <c r="R27" s="194">
        <f t="shared" si="19"/>
        <v>2023</v>
      </c>
      <c r="S27" s="194">
        <f t="shared" si="20"/>
        <v>10</v>
      </c>
      <c r="T27" s="174">
        <f t="shared" si="16"/>
        <v>0</v>
      </c>
      <c r="U27" s="174">
        <f t="shared" si="16"/>
        <v>0</v>
      </c>
      <c r="V27" s="174">
        <f t="shared" si="16"/>
        <v>0</v>
      </c>
      <c r="W27" s="174">
        <f t="shared" si="16"/>
        <v>0</v>
      </c>
      <c r="X27" s="174">
        <f t="shared" si="16"/>
        <v>0</v>
      </c>
      <c r="Y27" s="174">
        <f t="shared" si="16"/>
        <v>0</v>
      </c>
      <c r="Z27" s="174">
        <f t="shared" si="16"/>
        <v>0</v>
      </c>
      <c r="AA27" s="174">
        <f t="shared" si="16"/>
        <v>0</v>
      </c>
      <c r="AB27" s="174">
        <f t="shared" si="16"/>
        <v>0</v>
      </c>
      <c r="AC27" s="174">
        <f t="shared" si="16"/>
        <v>0</v>
      </c>
      <c r="AD27" s="174">
        <f t="shared" si="16"/>
        <v>0</v>
      </c>
      <c r="AE27" s="174">
        <f t="shared" si="16"/>
        <v>0</v>
      </c>
      <c r="AF27" s="174">
        <f t="shared" si="17"/>
        <v>0</v>
      </c>
    </row>
    <row r="28" spans="1:32" outlineLevel="1" x14ac:dyDescent="0.35">
      <c r="A28" s="194">
        <f t="shared" si="21"/>
        <v>2022</v>
      </c>
      <c r="B28" s="204">
        <v>12</v>
      </c>
      <c r="C28" s="205" t="s">
        <v>523</v>
      </c>
      <c r="D28" s="207">
        <v>-60270.85</v>
      </c>
      <c r="G28" s="214" t="s">
        <v>533</v>
      </c>
      <c r="J28" s="198">
        <f t="shared" si="10"/>
        <v>2022.12</v>
      </c>
      <c r="K28" s="194">
        <f t="shared" si="22"/>
        <v>2022</v>
      </c>
      <c r="L28" s="204">
        <v>12</v>
      </c>
      <c r="M28" s="205" t="s">
        <v>523</v>
      </c>
      <c r="N28" s="203">
        <f t="shared" si="18"/>
        <v>-60270.85</v>
      </c>
      <c r="O28" s="203">
        <f t="shared" si="13"/>
        <v>-60270.85</v>
      </c>
      <c r="P28" s="203">
        <f t="shared" si="14"/>
        <v>0</v>
      </c>
      <c r="Q28" s="203">
        <f t="shared" si="15"/>
        <v>-5022.57</v>
      </c>
      <c r="R28" s="194">
        <f t="shared" si="19"/>
        <v>2023</v>
      </c>
      <c r="S28" s="194">
        <f t="shared" si="20"/>
        <v>11</v>
      </c>
      <c r="T28" s="174">
        <f t="shared" si="16"/>
        <v>0</v>
      </c>
      <c r="U28" s="174">
        <f t="shared" si="16"/>
        <v>0</v>
      </c>
      <c r="V28" s="174">
        <f t="shared" si="16"/>
        <v>0</v>
      </c>
      <c r="W28" s="174">
        <f t="shared" si="16"/>
        <v>0</v>
      </c>
      <c r="X28" s="174">
        <f t="shared" si="16"/>
        <v>0</v>
      </c>
      <c r="Y28" s="174">
        <f t="shared" si="16"/>
        <v>0</v>
      </c>
      <c r="Z28" s="174">
        <f t="shared" si="16"/>
        <v>0</v>
      </c>
      <c r="AA28" s="174">
        <f t="shared" si="16"/>
        <v>0</v>
      </c>
      <c r="AB28" s="174">
        <f t="shared" si="16"/>
        <v>0</v>
      </c>
      <c r="AC28" s="174">
        <f t="shared" si="16"/>
        <v>0</v>
      </c>
      <c r="AD28" s="174">
        <f t="shared" si="16"/>
        <v>0</v>
      </c>
      <c r="AE28" s="174">
        <f t="shared" si="16"/>
        <v>0</v>
      </c>
      <c r="AF28" s="174">
        <f t="shared" si="17"/>
        <v>0</v>
      </c>
    </row>
    <row r="29" spans="1:32" x14ac:dyDescent="0.35">
      <c r="A29" s="208">
        <f>+A28</f>
        <v>2022</v>
      </c>
      <c r="B29" s="208"/>
      <c r="C29" s="209" t="s">
        <v>116</v>
      </c>
      <c r="D29" s="210">
        <f>SUM(D17:D28)</f>
        <v>-335057.64</v>
      </c>
      <c r="J29" s="211"/>
      <c r="K29" s="208">
        <f>+K28</f>
        <v>2022</v>
      </c>
      <c r="L29" s="208"/>
      <c r="M29" s="209" t="s">
        <v>116</v>
      </c>
      <c r="N29" s="210">
        <f>SUM(N17:N28)</f>
        <v>-335057.64</v>
      </c>
      <c r="O29" s="210">
        <f>SUM(O17:O28)</f>
        <v>-335057.64</v>
      </c>
      <c r="P29" s="210">
        <f>SUM(P17:P28)</f>
        <v>0</v>
      </c>
      <c r="Q29" s="210">
        <f>SUM(Q17:Q28)</f>
        <v>-27921.46</v>
      </c>
      <c r="R29" s="210"/>
      <c r="S29" s="210"/>
      <c r="T29" s="210">
        <f t="shared" ref="T29:AF29" si="23">SUM(T17:T28)</f>
        <v>0</v>
      </c>
      <c r="U29" s="210">
        <f t="shared" si="23"/>
        <v>0</v>
      </c>
      <c r="V29" s="210">
        <f t="shared" si="23"/>
        <v>0</v>
      </c>
      <c r="W29" s="210">
        <f t="shared" si="23"/>
        <v>0</v>
      </c>
      <c r="X29" s="210">
        <f t="shared" si="23"/>
        <v>0</v>
      </c>
      <c r="Y29" s="210">
        <f t="shared" si="23"/>
        <v>0</v>
      </c>
      <c r="Z29" s="210">
        <f t="shared" si="23"/>
        <v>0</v>
      </c>
      <c r="AA29" s="210">
        <f t="shared" si="23"/>
        <v>0</v>
      </c>
      <c r="AB29" s="210">
        <f t="shared" si="23"/>
        <v>0</v>
      </c>
      <c r="AC29" s="210">
        <f t="shared" si="23"/>
        <v>0</v>
      </c>
      <c r="AD29" s="210">
        <f t="shared" si="23"/>
        <v>0</v>
      </c>
      <c r="AE29" s="210">
        <f t="shared" si="23"/>
        <v>0</v>
      </c>
      <c r="AF29" s="210">
        <f t="shared" si="23"/>
        <v>0</v>
      </c>
    </row>
    <row r="30" spans="1:32" outlineLevel="1" x14ac:dyDescent="0.35">
      <c r="A30" s="194">
        <f>+A29+1</f>
        <v>2023</v>
      </c>
      <c r="B30" s="194">
        <v>1</v>
      </c>
      <c r="C30" s="195" t="s">
        <v>524</v>
      </c>
      <c r="D30" s="196">
        <v>50073</v>
      </c>
      <c r="J30" s="198">
        <f t="shared" si="10"/>
        <v>2023.01</v>
      </c>
      <c r="K30" s="194">
        <f>+K29+1</f>
        <v>2023</v>
      </c>
      <c r="L30" s="194">
        <v>1</v>
      </c>
      <c r="M30" s="195" t="s">
        <v>524</v>
      </c>
      <c r="N30" s="199">
        <f>IF(I$3-J30&gt;=0,D30,0)</f>
        <v>50073</v>
      </c>
      <c r="O30" s="200">
        <f t="shared" ref="O30:O41" si="24">IF((H$3-K30)*12+(H$2-L30+1)&gt;=$H$6,N30,IF((H$3-K30)*12+(H$2-L30+1)&lt;0,0,((H$3-K30)*12+(H$2-L30+1))*Q30))</f>
        <v>50073</v>
      </c>
      <c r="P30" s="201">
        <f t="shared" ref="P30:P41" si="25">+N30-O30</f>
        <v>0</v>
      </c>
      <c r="Q30" s="201">
        <f t="shared" ref="Q30:Q41" si="26">ROUND(N30/H$6,2)</f>
        <v>4172.75</v>
      </c>
      <c r="R30" s="194">
        <f>+R28</f>
        <v>2023</v>
      </c>
      <c r="S30" s="194">
        <f>+S28+1</f>
        <v>12</v>
      </c>
      <c r="T30" s="200">
        <f t="shared" si="16"/>
        <v>0</v>
      </c>
      <c r="U30" s="200">
        <f t="shared" si="16"/>
        <v>0</v>
      </c>
      <c r="V30" s="200">
        <f t="shared" si="16"/>
        <v>0</v>
      </c>
      <c r="W30" s="200">
        <f t="shared" si="16"/>
        <v>0</v>
      </c>
      <c r="X30" s="200">
        <f t="shared" si="16"/>
        <v>0</v>
      </c>
      <c r="Y30" s="200">
        <f t="shared" si="16"/>
        <v>0</v>
      </c>
      <c r="Z30" s="200">
        <f t="shared" si="16"/>
        <v>0</v>
      </c>
      <c r="AA30" s="200">
        <f t="shared" si="16"/>
        <v>0</v>
      </c>
      <c r="AB30" s="200">
        <f t="shared" si="16"/>
        <v>0</v>
      </c>
      <c r="AC30" s="200">
        <f t="shared" si="16"/>
        <v>0</v>
      </c>
      <c r="AD30" s="200">
        <f t="shared" si="16"/>
        <v>0</v>
      </c>
      <c r="AE30" s="200">
        <f t="shared" si="16"/>
        <v>0</v>
      </c>
      <c r="AF30" s="200">
        <f t="shared" ref="AF30:AF41" si="27">SUM(T30:AE30)</f>
        <v>0</v>
      </c>
    </row>
    <row r="31" spans="1:32" outlineLevel="1" x14ac:dyDescent="0.35">
      <c r="A31" s="194">
        <f>+A30</f>
        <v>2023</v>
      </c>
      <c r="B31" s="194">
        <v>2</v>
      </c>
      <c r="C31" s="195" t="s">
        <v>525</v>
      </c>
      <c r="D31" s="212">
        <v>104573.58</v>
      </c>
      <c r="J31" s="198">
        <f t="shared" si="10"/>
        <v>2023.02</v>
      </c>
      <c r="K31" s="194">
        <f>+K30</f>
        <v>2023</v>
      </c>
      <c r="L31" s="194">
        <v>2</v>
      </c>
      <c r="M31" s="195" t="s">
        <v>525</v>
      </c>
      <c r="N31" s="203">
        <f t="shared" ref="N31:N41" si="28">IF(I$3-J31&gt;=0,D31,0)</f>
        <v>104573.58</v>
      </c>
      <c r="O31" s="203">
        <f t="shared" si="24"/>
        <v>104573.58</v>
      </c>
      <c r="P31" s="203">
        <f t="shared" si="25"/>
        <v>0</v>
      </c>
      <c r="Q31" s="203">
        <f t="shared" si="26"/>
        <v>8714.4699999999993</v>
      </c>
      <c r="R31" s="194">
        <f t="shared" ref="R31:R41" si="29">+K31+H$5</f>
        <v>2024</v>
      </c>
      <c r="S31" s="194">
        <f t="shared" ref="S31:S41" si="30">+L31-1</f>
        <v>1</v>
      </c>
      <c r="T31" s="174">
        <f t="shared" si="16"/>
        <v>0</v>
      </c>
      <c r="U31" s="174">
        <f t="shared" si="16"/>
        <v>0</v>
      </c>
      <c r="V31" s="174">
        <f t="shared" si="16"/>
        <v>0</v>
      </c>
      <c r="W31" s="174">
        <f t="shared" si="16"/>
        <v>0</v>
      </c>
      <c r="X31" s="174">
        <f t="shared" si="16"/>
        <v>0</v>
      </c>
      <c r="Y31" s="174">
        <f t="shared" si="16"/>
        <v>0</v>
      </c>
      <c r="Z31" s="174">
        <f t="shared" si="16"/>
        <v>0</v>
      </c>
      <c r="AA31" s="174">
        <f t="shared" si="16"/>
        <v>0</v>
      </c>
      <c r="AB31" s="174">
        <f t="shared" si="16"/>
        <v>0</v>
      </c>
      <c r="AC31" s="174">
        <f t="shared" si="16"/>
        <v>0</v>
      </c>
      <c r="AD31" s="174">
        <f t="shared" si="16"/>
        <v>0</v>
      </c>
      <c r="AE31" s="174">
        <f t="shared" si="16"/>
        <v>0</v>
      </c>
      <c r="AF31" s="174">
        <f t="shared" si="27"/>
        <v>0</v>
      </c>
    </row>
    <row r="32" spans="1:32" outlineLevel="1" x14ac:dyDescent="0.35">
      <c r="A32" s="194">
        <f t="shared" ref="A32:A41" si="31">+A31</f>
        <v>2023</v>
      </c>
      <c r="B32" s="194">
        <v>3</v>
      </c>
      <c r="C32" s="195" t="s">
        <v>302</v>
      </c>
      <c r="D32" s="212">
        <v>79292.12</v>
      </c>
      <c r="J32" s="198">
        <f t="shared" si="10"/>
        <v>2023.03</v>
      </c>
      <c r="K32" s="194">
        <f t="shared" ref="K32:K41" si="32">+K31</f>
        <v>2023</v>
      </c>
      <c r="L32" s="194">
        <v>3</v>
      </c>
      <c r="M32" s="195" t="s">
        <v>302</v>
      </c>
      <c r="N32" s="203">
        <f t="shared" si="28"/>
        <v>79292.12</v>
      </c>
      <c r="O32" s="203">
        <f t="shared" si="24"/>
        <v>79292.12</v>
      </c>
      <c r="P32" s="203">
        <f t="shared" si="25"/>
        <v>0</v>
      </c>
      <c r="Q32" s="203">
        <f t="shared" si="26"/>
        <v>6607.68</v>
      </c>
      <c r="R32" s="194">
        <f t="shared" si="29"/>
        <v>2024</v>
      </c>
      <c r="S32" s="194">
        <f t="shared" si="30"/>
        <v>2</v>
      </c>
      <c r="T32" s="174">
        <f t="shared" si="16"/>
        <v>0</v>
      </c>
      <c r="U32" s="174">
        <f t="shared" si="16"/>
        <v>0</v>
      </c>
      <c r="V32" s="174">
        <f t="shared" si="16"/>
        <v>0</v>
      </c>
      <c r="W32" s="174">
        <f t="shared" si="16"/>
        <v>0</v>
      </c>
      <c r="X32" s="174">
        <f t="shared" si="16"/>
        <v>0</v>
      </c>
      <c r="Y32" s="174">
        <f t="shared" si="16"/>
        <v>0</v>
      </c>
      <c r="Z32" s="174">
        <f t="shared" si="16"/>
        <v>0</v>
      </c>
      <c r="AA32" s="174">
        <f t="shared" si="16"/>
        <v>0</v>
      </c>
      <c r="AB32" s="174">
        <f t="shared" si="16"/>
        <v>0</v>
      </c>
      <c r="AC32" s="174">
        <f t="shared" si="16"/>
        <v>0</v>
      </c>
      <c r="AD32" s="174">
        <f t="shared" si="16"/>
        <v>0</v>
      </c>
      <c r="AE32" s="174">
        <f t="shared" si="16"/>
        <v>0</v>
      </c>
      <c r="AF32" s="174">
        <f t="shared" si="27"/>
        <v>0</v>
      </c>
    </row>
    <row r="33" spans="1:33" outlineLevel="1" x14ac:dyDescent="0.35">
      <c r="A33" s="194">
        <f t="shared" si="31"/>
        <v>2023</v>
      </c>
      <c r="B33" s="194">
        <v>4</v>
      </c>
      <c r="C33" s="195" t="s">
        <v>303</v>
      </c>
      <c r="D33" s="212">
        <v>111151.06</v>
      </c>
      <c r="J33" s="198">
        <f t="shared" si="10"/>
        <v>2023.04</v>
      </c>
      <c r="K33" s="194">
        <f t="shared" si="32"/>
        <v>2023</v>
      </c>
      <c r="L33" s="194">
        <v>4</v>
      </c>
      <c r="M33" s="195" t="s">
        <v>303</v>
      </c>
      <c r="N33" s="203">
        <f t="shared" si="28"/>
        <v>111151.06</v>
      </c>
      <c r="O33" s="203">
        <f t="shared" si="24"/>
        <v>111151.06</v>
      </c>
      <c r="P33" s="203">
        <f t="shared" si="25"/>
        <v>0</v>
      </c>
      <c r="Q33" s="203">
        <f t="shared" si="26"/>
        <v>9262.59</v>
      </c>
      <c r="R33" s="194">
        <f t="shared" si="29"/>
        <v>2024</v>
      </c>
      <c r="S33" s="194">
        <f t="shared" si="30"/>
        <v>3</v>
      </c>
      <c r="T33" s="174">
        <f t="shared" ref="T33:AE41" si="33">IF($H$3=$K33,IF(T$8&lt;$L33,0,$Q33))+IF($H$3&lt;$R33,$Q33,0)+IF($H$3=$R33,IF(T$8&lt;$S33,$Q33,0))+IF($H$3=$R33,IF(T$8=$S33,$Q33+($N33-$Q33*$H$6),IF($H$3&gt;$R33,0)))+IF($O33=0,-$Q33,IF($H$3&gt;$K33,0,-$Q33))</f>
        <v>0</v>
      </c>
      <c r="U33" s="174">
        <f t="shared" si="33"/>
        <v>0</v>
      </c>
      <c r="V33" s="174">
        <f t="shared" si="33"/>
        <v>0</v>
      </c>
      <c r="W33" s="174">
        <f t="shared" si="33"/>
        <v>0</v>
      </c>
      <c r="X33" s="174">
        <f t="shared" si="33"/>
        <v>0</v>
      </c>
      <c r="Y33" s="174">
        <f t="shared" si="33"/>
        <v>0</v>
      </c>
      <c r="Z33" s="174">
        <f t="shared" si="33"/>
        <v>0</v>
      </c>
      <c r="AA33" s="174">
        <f t="shared" si="33"/>
        <v>0</v>
      </c>
      <c r="AB33" s="174">
        <f t="shared" si="33"/>
        <v>0</v>
      </c>
      <c r="AC33" s="174">
        <f t="shared" si="33"/>
        <v>0</v>
      </c>
      <c r="AD33" s="174">
        <f t="shared" si="33"/>
        <v>0</v>
      </c>
      <c r="AE33" s="174">
        <f t="shared" si="33"/>
        <v>0</v>
      </c>
      <c r="AF33" s="174">
        <f t="shared" si="27"/>
        <v>0</v>
      </c>
    </row>
    <row r="34" spans="1:33" outlineLevel="1" x14ac:dyDescent="0.35">
      <c r="A34" s="194">
        <f t="shared" si="31"/>
        <v>2023</v>
      </c>
      <c r="B34" s="194">
        <v>5</v>
      </c>
      <c r="C34" s="195" t="s">
        <v>166</v>
      </c>
      <c r="D34" s="212">
        <v>85492.61</v>
      </c>
      <c r="J34" s="198">
        <f t="shared" si="10"/>
        <v>2023.05</v>
      </c>
      <c r="K34" s="194">
        <f t="shared" si="32"/>
        <v>2023</v>
      </c>
      <c r="L34" s="194">
        <v>5</v>
      </c>
      <c r="M34" s="195" t="s">
        <v>166</v>
      </c>
      <c r="N34" s="203">
        <f t="shared" si="28"/>
        <v>85492.61</v>
      </c>
      <c r="O34" s="203">
        <f t="shared" si="24"/>
        <v>85492.61</v>
      </c>
      <c r="P34" s="203">
        <f t="shared" si="25"/>
        <v>0</v>
      </c>
      <c r="Q34" s="203">
        <f t="shared" si="26"/>
        <v>7124.38</v>
      </c>
      <c r="R34" s="194">
        <f t="shared" si="29"/>
        <v>2024</v>
      </c>
      <c r="S34" s="194">
        <f t="shared" si="30"/>
        <v>4</v>
      </c>
      <c r="T34" s="174">
        <f t="shared" si="33"/>
        <v>0</v>
      </c>
      <c r="U34" s="174">
        <f t="shared" si="33"/>
        <v>0</v>
      </c>
      <c r="V34" s="174">
        <f t="shared" si="33"/>
        <v>0</v>
      </c>
      <c r="W34" s="174">
        <f t="shared" si="33"/>
        <v>0</v>
      </c>
      <c r="X34" s="174">
        <f t="shared" si="33"/>
        <v>0</v>
      </c>
      <c r="Y34" s="174">
        <f t="shared" si="33"/>
        <v>0</v>
      </c>
      <c r="Z34" s="174">
        <f t="shared" si="33"/>
        <v>0</v>
      </c>
      <c r="AA34" s="174">
        <f t="shared" si="33"/>
        <v>0</v>
      </c>
      <c r="AB34" s="174">
        <f t="shared" si="33"/>
        <v>0</v>
      </c>
      <c r="AC34" s="174">
        <f t="shared" si="33"/>
        <v>0</v>
      </c>
      <c r="AD34" s="174">
        <f t="shared" si="33"/>
        <v>0</v>
      </c>
      <c r="AE34" s="174">
        <f t="shared" si="33"/>
        <v>0</v>
      </c>
      <c r="AF34" s="174">
        <f t="shared" si="27"/>
        <v>0</v>
      </c>
    </row>
    <row r="35" spans="1:33" outlineLevel="1" x14ac:dyDescent="0.35">
      <c r="A35" s="194">
        <f t="shared" si="31"/>
        <v>2023</v>
      </c>
      <c r="B35" s="194">
        <v>6</v>
      </c>
      <c r="C35" s="195" t="s">
        <v>304</v>
      </c>
      <c r="D35" s="202">
        <v>399684.5</v>
      </c>
      <c r="J35" s="198">
        <f t="shared" si="10"/>
        <v>2023.06</v>
      </c>
      <c r="K35" s="194">
        <f t="shared" si="32"/>
        <v>2023</v>
      </c>
      <c r="L35" s="194">
        <v>6</v>
      </c>
      <c r="M35" s="195" t="s">
        <v>304</v>
      </c>
      <c r="N35" s="203">
        <f t="shared" si="28"/>
        <v>399684.5</v>
      </c>
      <c r="O35" s="203">
        <f t="shared" si="24"/>
        <v>399684.5</v>
      </c>
      <c r="P35" s="203">
        <f t="shared" si="25"/>
        <v>0</v>
      </c>
      <c r="Q35" s="203">
        <f t="shared" si="26"/>
        <v>33307.040000000001</v>
      </c>
      <c r="R35" s="194">
        <f t="shared" si="29"/>
        <v>2024</v>
      </c>
      <c r="S35" s="194">
        <f t="shared" si="30"/>
        <v>5</v>
      </c>
      <c r="T35" s="174">
        <f t="shared" si="33"/>
        <v>0</v>
      </c>
      <c r="U35" s="174">
        <f t="shared" si="33"/>
        <v>0</v>
      </c>
      <c r="V35" s="174">
        <f t="shared" si="33"/>
        <v>0</v>
      </c>
      <c r="W35" s="174">
        <f t="shared" si="33"/>
        <v>0</v>
      </c>
      <c r="X35" s="174">
        <f t="shared" si="33"/>
        <v>0</v>
      </c>
      <c r="Y35" s="174">
        <f t="shared" si="33"/>
        <v>0</v>
      </c>
      <c r="Z35" s="174">
        <f t="shared" si="33"/>
        <v>0</v>
      </c>
      <c r="AA35" s="174">
        <f t="shared" si="33"/>
        <v>0</v>
      </c>
      <c r="AB35" s="174">
        <f t="shared" si="33"/>
        <v>0</v>
      </c>
      <c r="AC35" s="174">
        <f t="shared" si="33"/>
        <v>0</v>
      </c>
      <c r="AD35" s="174">
        <f t="shared" si="33"/>
        <v>0</v>
      </c>
      <c r="AE35" s="174">
        <f t="shared" si="33"/>
        <v>0</v>
      </c>
      <c r="AF35" s="174">
        <f t="shared" si="27"/>
        <v>0</v>
      </c>
    </row>
    <row r="36" spans="1:33" outlineLevel="1" x14ac:dyDescent="0.35">
      <c r="A36" s="194">
        <f t="shared" si="31"/>
        <v>2023</v>
      </c>
      <c r="B36" s="194">
        <v>7</v>
      </c>
      <c r="C36" s="195" t="s">
        <v>343</v>
      </c>
      <c r="D36" s="202">
        <v>254434.62</v>
      </c>
      <c r="J36" s="198">
        <f t="shared" si="10"/>
        <v>2023.07</v>
      </c>
      <c r="K36" s="194">
        <f t="shared" si="32"/>
        <v>2023</v>
      </c>
      <c r="L36" s="194">
        <v>7</v>
      </c>
      <c r="M36" s="195" t="s">
        <v>343</v>
      </c>
      <c r="N36" s="203">
        <f t="shared" si="28"/>
        <v>254434.62</v>
      </c>
      <c r="O36" s="203">
        <f t="shared" si="24"/>
        <v>254434.62</v>
      </c>
      <c r="P36" s="203">
        <f t="shared" si="25"/>
        <v>0</v>
      </c>
      <c r="Q36" s="203">
        <f t="shared" si="26"/>
        <v>21202.89</v>
      </c>
      <c r="R36" s="194">
        <f t="shared" si="29"/>
        <v>2024</v>
      </c>
      <c r="S36" s="194">
        <f t="shared" si="30"/>
        <v>6</v>
      </c>
      <c r="T36" s="174">
        <f t="shared" si="33"/>
        <v>0</v>
      </c>
      <c r="U36" s="174">
        <f t="shared" si="33"/>
        <v>0</v>
      </c>
      <c r="V36" s="174">
        <f t="shared" si="33"/>
        <v>0</v>
      </c>
      <c r="W36" s="174">
        <f t="shared" si="33"/>
        <v>0</v>
      </c>
      <c r="X36" s="174">
        <f t="shared" si="33"/>
        <v>0</v>
      </c>
      <c r="Y36" s="174">
        <f t="shared" si="33"/>
        <v>0</v>
      </c>
      <c r="Z36" s="174">
        <f t="shared" si="33"/>
        <v>0</v>
      </c>
      <c r="AA36" s="174">
        <f t="shared" si="33"/>
        <v>0</v>
      </c>
      <c r="AB36" s="174">
        <f t="shared" si="33"/>
        <v>0</v>
      </c>
      <c r="AC36" s="174">
        <f t="shared" si="33"/>
        <v>0</v>
      </c>
      <c r="AD36" s="174">
        <f t="shared" si="33"/>
        <v>0</v>
      </c>
      <c r="AE36" s="174">
        <f t="shared" si="33"/>
        <v>0</v>
      </c>
      <c r="AF36" s="174">
        <f t="shared" si="27"/>
        <v>0</v>
      </c>
    </row>
    <row r="37" spans="1:33" outlineLevel="1" x14ac:dyDescent="0.35">
      <c r="A37" s="194">
        <f t="shared" si="31"/>
        <v>2023</v>
      </c>
      <c r="B37" s="194">
        <v>8</v>
      </c>
      <c r="C37" s="195" t="s">
        <v>526</v>
      </c>
      <c r="D37" s="202">
        <v>196314.46</v>
      </c>
      <c r="J37" s="198">
        <f t="shared" si="10"/>
        <v>2023.08</v>
      </c>
      <c r="K37" s="194">
        <f t="shared" si="32"/>
        <v>2023</v>
      </c>
      <c r="L37" s="194">
        <v>8</v>
      </c>
      <c r="M37" s="195" t="s">
        <v>526</v>
      </c>
      <c r="N37" s="203">
        <f t="shared" si="28"/>
        <v>196314.46</v>
      </c>
      <c r="O37" s="203">
        <f t="shared" si="24"/>
        <v>196314.46</v>
      </c>
      <c r="P37" s="203">
        <f t="shared" si="25"/>
        <v>0</v>
      </c>
      <c r="Q37" s="203">
        <f t="shared" si="26"/>
        <v>16359.54</v>
      </c>
      <c r="R37" s="194">
        <f t="shared" si="29"/>
        <v>2024</v>
      </c>
      <c r="S37" s="194">
        <f t="shared" si="30"/>
        <v>7</v>
      </c>
      <c r="T37" s="174">
        <f t="shared" si="33"/>
        <v>0</v>
      </c>
      <c r="U37" s="174">
        <f t="shared" si="33"/>
        <v>0</v>
      </c>
      <c r="V37" s="174">
        <f t="shared" si="33"/>
        <v>0</v>
      </c>
      <c r="W37" s="174">
        <f t="shared" si="33"/>
        <v>0</v>
      </c>
      <c r="X37" s="174">
        <f t="shared" si="33"/>
        <v>0</v>
      </c>
      <c r="Y37" s="174">
        <f t="shared" si="33"/>
        <v>0</v>
      </c>
      <c r="Z37" s="174">
        <f t="shared" si="33"/>
        <v>0</v>
      </c>
      <c r="AA37" s="174">
        <f t="shared" si="33"/>
        <v>0</v>
      </c>
      <c r="AB37" s="174">
        <f t="shared" si="33"/>
        <v>0</v>
      </c>
      <c r="AC37" s="174">
        <f t="shared" si="33"/>
        <v>0</v>
      </c>
      <c r="AD37" s="174">
        <f t="shared" si="33"/>
        <v>0</v>
      </c>
      <c r="AE37" s="174">
        <f t="shared" si="33"/>
        <v>0</v>
      </c>
      <c r="AF37" s="174">
        <f t="shared" si="27"/>
        <v>0</v>
      </c>
    </row>
    <row r="38" spans="1:33" outlineLevel="1" x14ac:dyDescent="0.35">
      <c r="A38" s="194">
        <f t="shared" si="31"/>
        <v>2023</v>
      </c>
      <c r="B38" s="194">
        <v>9</v>
      </c>
      <c r="C38" s="195" t="s">
        <v>527</v>
      </c>
      <c r="D38" s="202">
        <v>511942.37</v>
      </c>
      <c r="J38" s="198">
        <f t="shared" si="10"/>
        <v>2023.09</v>
      </c>
      <c r="K38" s="194">
        <f t="shared" si="32"/>
        <v>2023</v>
      </c>
      <c r="L38" s="194">
        <v>9</v>
      </c>
      <c r="M38" s="195" t="s">
        <v>527</v>
      </c>
      <c r="N38" s="203">
        <f t="shared" si="28"/>
        <v>511942.37</v>
      </c>
      <c r="O38" s="203">
        <f t="shared" si="24"/>
        <v>511942.37</v>
      </c>
      <c r="P38" s="203">
        <f t="shared" si="25"/>
        <v>0</v>
      </c>
      <c r="Q38" s="203">
        <f t="shared" si="26"/>
        <v>42661.86</v>
      </c>
      <c r="R38" s="194">
        <f t="shared" si="29"/>
        <v>2024</v>
      </c>
      <c r="S38" s="194">
        <f t="shared" si="30"/>
        <v>8</v>
      </c>
      <c r="T38" s="174">
        <f t="shared" si="33"/>
        <v>0</v>
      </c>
      <c r="U38" s="174">
        <f t="shared" si="33"/>
        <v>0</v>
      </c>
      <c r="V38" s="174">
        <f t="shared" si="33"/>
        <v>0</v>
      </c>
      <c r="W38" s="174">
        <f t="shared" si="33"/>
        <v>0</v>
      </c>
      <c r="X38" s="174">
        <f t="shared" si="33"/>
        <v>0</v>
      </c>
      <c r="Y38" s="174">
        <f t="shared" si="33"/>
        <v>0</v>
      </c>
      <c r="Z38" s="174">
        <f t="shared" si="33"/>
        <v>0</v>
      </c>
      <c r="AA38" s="174">
        <f t="shared" si="33"/>
        <v>0</v>
      </c>
      <c r="AB38" s="174">
        <f t="shared" si="33"/>
        <v>0</v>
      </c>
      <c r="AC38" s="174">
        <f t="shared" si="33"/>
        <v>0</v>
      </c>
      <c r="AD38" s="174">
        <f t="shared" si="33"/>
        <v>0</v>
      </c>
      <c r="AE38" s="174">
        <f t="shared" si="33"/>
        <v>0</v>
      </c>
      <c r="AF38" s="174">
        <f t="shared" si="27"/>
        <v>0</v>
      </c>
    </row>
    <row r="39" spans="1:33" outlineLevel="1" x14ac:dyDescent="0.35">
      <c r="A39" s="194">
        <f t="shared" si="31"/>
        <v>2023</v>
      </c>
      <c r="B39" s="204">
        <v>10</v>
      </c>
      <c r="C39" s="205" t="s">
        <v>528</v>
      </c>
      <c r="D39" s="202">
        <v>353272.06</v>
      </c>
      <c r="J39" s="198">
        <f t="shared" si="10"/>
        <v>2023.1</v>
      </c>
      <c r="K39" s="194">
        <f t="shared" si="32"/>
        <v>2023</v>
      </c>
      <c r="L39" s="204">
        <v>10</v>
      </c>
      <c r="M39" s="205" t="s">
        <v>528</v>
      </c>
      <c r="N39" s="203">
        <f t="shared" si="28"/>
        <v>353272.06</v>
      </c>
      <c r="O39" s="203">
        <f t="shared" si="24"/>
        <v>353272.06</v>
      </c>
      <c r="P39" s="203">
        <f t="shared" si="25"/>
        <v>0</v>
      </c>
      <c r="Q39" s="203">
        <f t="shared" si="26"/>
        <v>29439.34</v>
      </c>
      <c r="R39" s="194">
        <f t="shared" si="29"/>
        <v>2024</v>
      </c>
      <c r="S39" s="194">
        <f t="shared" si="30"/>
        <v>9</v>
      </c>
      <c r="T39" s="174">
        <f t="shared" si="33"/>
        <v>0</v>
      </c>
      <c r="U39" s="174">
        <f t="shared" si="33"/>
        <v>0</v>
      </c>
      <c r="V39" s="174">
        <f t="shared" si="33"/>
        <v>0</v>
      </c>
      <c r="W39" s="174">
        <f t="shared" si="33"/>
        <v>0</v>
      </c>
      <c r="X39" s="174">
        <f t="shared" si="33"/>
        <v>0</v>
      </c>
      <c r="Y39" s="174">
        <f t="shared" si="33"/>
        <v>0</v>
      </c>
      <c r="Z39" s="174">
        <f t="shared" si="33"/>
        <v>0</v>
      </c>
      <c r="AA39" s="174">
        <f t="shared" si="33"/>
        <v>0</v>
      </c>
      <c r="AB39" s="174">
        <f t="shared" si="33"/>
        <v>0</v>
      </c>
      <c r="AC39" s="174">
        <f t="shared" si="33"/>
        <v>0</v>
      </c>
      <c r="AD39" s="174">
        <f t="shared" si="33"/>
        <v>0</v>
      </c>
      <c r="AE39" s="174">
        <f t="shared" si="33"/>
        <v>0</v>
      </c>
      <c r="AF39" s="174">
        <f t="shared" si="27"/>
        <v>0</v>
      </c>
    </row>
    <row r="40" spans="1:33" outlineLevel="1" x14ac:dyDescent="0.35">
      <c r="A40" s="194">
        <f t="shared" si="31"/>
        <v>2023</v>
      </c>
      <c r="B40" s="204">
        <v>11</v>
      </c>
      <c r="C40" s="205" t="s">
        <v>529</v>
      </c>
      <c r="D40" s="202">
        <v>355379.5</v>
      </c>
      <c r="J40" s="198">
        <f t="shared" si="10"/>
        <v>2023.11</v>
      </c>
      <c r="K40" s="194">
        <f t="shared" si="32"/>
        <v>2023</v>
      </c>
      <c r="L40" s="204">
        <v>11</v>
      </c>
      <c r="M40" s="205" t="s">
        <v>529</v>
      </c>
      <c r="N40" s="203">
        <f t="shared" si="28"/>
        <v>355379.5</v>
      </c>
      <c r="O40" s="203">
        <f t="shared" si="24"/>
        <v>355379.5</v>
      </c>
      <c r="P40" s="203">
        <f t="shared" si="25"/>
        <v>0</v>
      </c>
      <c r="Q40" s="203">
        <f t="shared" si="26"/>
        <v>29614.959999999999</v>
      </c>
      <c r="R40" s="194">
        <f t="shared" si="29"/>
        <v>2024</v>
      </c>
      <c r="S40" s="194">
        <f t="shared" si="30"/>
        <v>10</v>
      </c>
      <c r="T40" s="174">
        <f t="shared" si="33"/>
        <v>0</v>
      </c>
      <c r="U40" s="174">
        <f t="shared" si="33"/>
        <v>0</v>
      </c>
      <c r="V40" s="174">
        <f t="shared" si="33"/>
        <v>0</v>
      </c>
      <c r="W40" s="174">
        <f t="shared" si="33"/>
        <v>0</v>
      </c>
      <c r="X40" s="174">
        <f t="shared" si="33"/>
        <v>0</v>
      </c>
      <c r="Y40" s="174">
        <f t="shared" si="33"/>
        <v>0</v>
      </c>
      <c r="Z40" s="174">
        <f t="shared" si="33"/>
        <v>0</v>
      </c>
      <c r="AA40" s="174">
        <f t="shared" si="33"/>
        <v>0</v>
      </c>
      <c r="AB40" s="174">
        <f t="shared" si="33"/>
        <v>0</v>
      </c>
      <c r="AC40" s="174">
        <f t="shared" si="33"/>
        <v>0</v>
      </c>
      <c r="AD40" s="174">
        <f t="shared" si="33"/>
        <v>0</v>
      </c>
      <c r="AE40" s="174">
        <f t="shared" si="33"/>
        <v>0</v>
      </c>
      <c r="AF40" s="174">
        <f t="shared" si="27"/>
        <v>0</v>
      </c>
    </row>
    <row r="41" spans="1:33" outlineLevel="1" x14ac:dyDescent="0.35">
      <c r="A41" s="194">
        <f t="shared" si="31"/>
        <v>2023</v>
      </c>
      <c r="B41" s="204">
        <v>12</v>
      </c>
      <c r="C41" s="205" t="s">
        <v>523</v>
      </c>
      <c r="D41" s="207">
        <v>278540.53999999998</v>
      </c>
      <c r="J41" s="198">
        <f t="shared" si="10"/>
        <v>2023.12</v>
      </c>
      <c r="K41" s="194">
        <f t="shared" si="32"/>
        <v>2023</v>
      </c>
      <c r="L41" s="204">
        <v>12</v>
      </c>
      <c r="M41" s="205" t="s">
        <v>523</v>
      </c>
      <c r="N41" s="203">
        <f t="shared" si="28"/>
        <v>278540.53999999998</v>
      </c>
      <c r="O41" s="203">
        <f t="shared" si="24"/>
        <v>278540.53999999998</v>
      </c>
      <c r="P41" s="203">
        <f t="shared" si="25"/>
        <v>0</v>
      </c>
      <c r="Q41" s="203">
        <f t="shared" si="26"/>
        <v>23211.71</v>
      </c>
      <c r="R41" s="194">
        <f t="shared" si="29"/>
        <v>2024</v>
      </c>
      <c r="S41" s="194">
        <f t="shared" si="30"/>
        <v>11</v>
      </c>
      <c r="T41" s="174">
        <f t="shared" si="33"/>
        <v>0</v>
      </c>
      <c r="U41" s="174">
        <f t="shared" si="33"/>
        <v>0</v>
      </c>
      <c r="V41" s="174">
        <f t="shared" si="33"/>
        <v>0</v>
      </c>
      <c r="W41" s="174">
        <f t="shared" si="33"/>
        <v>0</v>
      </c>
      <c r="X41" s="174">
        <f t="shared" si="33"/>
        <v>0</v>
      </c>
      <c r="Y41" s="174">
        <f t="shared" si="33"/>
        <v>0</v>
      </c>
      <c r="Z41" s="174">
        <f t="shared" si="33"/>
        <v>0</v>
      </c>
      <c r="AA41" s="174">
        <f t="shared" si="33"/>
        <v>0</v>
      </c>
      <c r="AB41" s="174">
        <f t="shared" si="33"/>
        <v>0</v>
      </c>
      <c r="AC41" s="174">
        <f t="shared" si="33"/>
        <v>0</v>
      </c>
      <c r="AD41" s="174">
        <f t="shared" si="33"/>
        <v>0</v>
      </c>
      <c r="AE41" s="174">
        <f t="shared" si="33"/>
        <v>0</v>
      </c>
      <c r="AF41" s="174">
        <f t="shared" si="27"/>
        <v>0</v>
      </c>
    </row>
    <row r="42" spans="1:33" x14ac:dyDescent="0.35">
      <c r="A42" s="208">
        <f>+A41</f>
        <v>2023</v>
      </c>
      <c r="B42" s="208"/>
      <c r="C42" s="209" t="s">
        <v>116</v>
      </c>
      <c r="D42" s="215">
        <f>SUM(D30:D41)</f>
        <v>2780150.42</v>
      </c>
      <c r="I42" s="13"/>
      <c r="J42" s="211"/>
      <c r="K42" s="208">
        <f>+K41</f>
        <v>2023</v>
      </c>
      <c r="L42" s="208"/>
      <c r="M42" s="209" t="s">
        <v>116</v>
      </c>
      <c r="N42" s="215">
        <f>SUM(N30:N41)</f>
        <v>2780150.42</v>
      </c>
      <c r="O42" s="210">
        <f>SUM(O30:O41)</f>
        <v>2780150.42</v>
      </c>
      <c r="P42" s="210">
        <f>SUM(P30:P41)</f>
        <v>0</v>
      </c>
      <c r="Q42" s="215">
        <f>SUM(Q30:Q41)</f>
        <v>231679.21</v>
      </c>
      <c r="R42" s="215"/>
      <c r="S42" s="210"/>
      <c r="T42" s="210">
        <f t="shared" ref="T42:AF42" si="34">SUM(T30:T41)</f>
        <v>0</v>
      </c>
      <c r="U42" s="210">
        <f t="shared" si="34"/>
        <v>0</v>
      </c>
      <c r="V42" s="210">
        <f t="shared" si="34"/>
        <v>0</v>
      </c>
      <c r="W42" s="210">
        <f t="shared" si="34"/>
        <v>0</v>
      </c>
      <c r="X42" s="210">
        <f t="shared" si="34"/>
        <v>0</v>
      </c>
      <c r="Y42" s="210">
        <f t="shared" si="34"/>
        <v>0</v>
      </c>
      <c r="Z42" s="210">
        <f t="shared" si="34"/>
        <v>0</v>
      </c>
      <c r="AA42" s="210">
        <f t="shared" si="34"/>
        <v>0</v>
      </c>
      <c r="AB42" s="210">
        <f t="shared" si="34"/>
        <v>0</v>
      </c>
      <c r="AC42" s="210">
        <f t="shared" si="34"/>
        <v>0</v>
      </c>
      <c r="AD42" s="210">
        <f t="shared" si="34"/>
        <v>0</v>
      </c>
      <c r="AE42" s="210">
        <f t="shared" si="34"/>
        <v>0</v>
      </c>
      <c r="AF42" s="210">
        <f t="shared" si="34"/>
        <v>0</v>
      </c>
      <c r="AG42" s="13"/>
    </row>
    <row r="43" spans="1:33" outlineLevel="1" x14ac:dyDescent="0.35">
      <c r="A43" s="194">
        <f>+A42+1</f>
        <v>2024</v>
      </c>
      <c r="B43" s="194">
        <v>1</v>
      </c>
      <c r="C43" s="195" t="s">
        <v>524</v>
      </c>
      <c r="D43" s="196">
        <v>328955.26999999996</v>
      </c>
      <c r="J43" s="198">
        <f t="shared" si="10"/>
        <v>2024.01</v>
      </c>
      <c r="K43" s="194">
        <f>+K42+1</f>
        <v>2024</v>
      </c>
      <c r="L43" s="194">
        <v>1</v>
      </c>
      <c r="M43" s="195" t="s">
        <v>524</v>
      </c>
      <c r="N43" s="199">
        <f>IF(I$3-J43&gt;=0,D43,0)</f>
        <v>328955.26999999996</v>
      </c>
      <c r="O43" s="200">
        <f t="shared" ref="O43:O54" si="35">IF((H$3-K43)*12+(H$2-L43+1)&gt;=$H$6,N43,IF((H$3-K43)*12+(H$2-L43+1)&lt;0,0,((H$3-K43)*12+(H$2-L43+1))*Q43))</f>
        <v>328955.26999999996</v>
      </c>
      <c r="P43" s="201">
        <f t="shared" ref="P43:P54" si="36">+N43-O43</f>
        <v>0</v>
      </c>
      <c r="Q43" s="201">
        <f t="shared" ref="Q43:Q54" si="37">ROUND(N43/H$6,2)</f>
        <v>27412.94</v>
      </c>
      <c r="R43" s="194">
        <f>+R41</f>
        <v>2024</v>
      </c>
      <c r="S43" s="194">
        <f>+S41+1</f>
        <v>12</v>
      </c>
      <c r="T43" s="200">
        <f t="shared" ref="T43:AE58" si="38">IF($H$3=$K43,IF(T$8&lt;$L43,0,$Q43))+IF($H$3&lt;$R43,$Q43,0)+IF($H$3=$R43,IF(T$8&lt;$S43,$Q43,0))+IF($H$3=$R43,IF(T$8=$S43,$Q43+($N43-$Q43*$H$6),IF($H$3&gt;$R43,0)))+IF($O43=0,-$Q43,IF($H$3&gt;$K43,0,-$Q43))</f>
        <v>0</v>
      </c>
      <c r="U43" s="200">
        <f t="shared" si="38"/>
        <v>0</v>
      </c>
      <c r="V43" s="200">
        <f t="shared" si="38"/>
        <v>0</v>
      </c>
      <c r="W43" s="200">
        <f t="shared" si="38"/>
        <v>0</v>
      </c>
      <c r="X43" s="200">
        <f t="shared" si="38"/>
        <v>0</v>
      </c>
      <c r="Y43" s="200">
        <f t="shared" si="38"/>
        <v>0</v>
      </c>
      <c r="Z43" s="200">
        <f t="shared" si="38"/>
        <v>0</v>
      </c>
      <c r="AA43" s="200">
        <f t="shared" si="38"/>
        <v>0</v>
      </c>
      <c r="AB43" s="200">
        <f t="shared" si="38"/>
        <v>0</v>
      </c>
      <c r="AC43" s="200">
        <f t="shared" si="38"/>
        <v>0</v>
      </c>
      <c r="AD43" s="200">
        <f t="shared" si="38"/>
        <v>0</v>
      </c>
      <c r="AE43" s="200">
        <f t="shared" si="38"/>
        <v>0</v>
      </c>
      <c r="AF43" s="200">
        <f t="shared" ref="AF43:AF54" si="39">SUM(T43:AE43)</f>
        <v>0</v>
      </c>
    </row>
    <row r="44" spans="1:33" outlineLevel="1" x14ac:dyDescent="0.35">
      <c r="A44" s="194">
        <f>+A43</f>
        <v>2024</v>
      </c>
      <c r="B44" s="194">
        <v>2</v>
      </c>
      <c r="C44" s="195" t="s">
        <v>525</v>
      </c>
      <c r="D44" s="212">
        <v>412361.63000000006</v>
      </c>
      <c r="J44" s="198">
        <f t="shared" si="10"/>
        <v>2024.02</v>
      </c>
      <c r="K44" s="194">
        <f>+K43</f>
        <v>2024</v>
      </c>
      <c r="L44" s="194">
        <v>2</v>
      </c>
      <c r="M44" s="195" t="s">
        <v>525</v>
      </c>
      <c r="N44" s="203">
        <f t="shared" ref="N44:N54" si="40">IF(I$3-J44&gt;=0,D44,0)</f>
        <v>412361.63000000006</v>
      </c>
      <c r="O44" s="203">
        <f t="shared" si="35"/>
        <v>412361.63000000006</v>
      </c>
      <c r="P44" s="203">
        <f t="shared" si="36"/>
        <v>0</v>
      </c>
      <c r="Q44" s="203">
        <f t="shared" si="37"/>
        <v>34363.47</v>
      </c>
      <c r="R44" s="194">
        <f t="shared" ref="R44:R54" si="41">+K44+H$5</f>
        <v>2025</v>
      </c>
      <c r="S44" s="194">
        <f t="shared" ref="S44:S54" si="42">+L44-1</f>
        <v>1</v>
      </c>
      <c r="T44" s="174">
        <f t="shared" si="38"/>
        <v>34363.46000000005</v>
      </c>
      <c r="U44" s="174">
        <f t="shared" si="38"/>
        <v>0</v>
      </c>
      <c r="V44" s="174">
        <f t="shared" si="38"/>
        <v>0</v>
      </c>
      <c r="W44" s="174">
        <f t="shared" si="38"/>
        <v>0</v>
      </c>
      <c r="X44" s="174">
        <f t="shared" si="38"/>
        <v>0</v>
      </c>
      <c r="Y44" s="174">
        <f t="shared" si="38"/>
        <v>0</v>
      </c>
      <c r="Z44" s="174">
        <f t="shared" si="38"/>
        <v>0</v>
      </c>
      <c r="AA44" s="174">
        <f t="shared" si="38"/>
        <v>0</v>
      </c>
      <c r="AB44" s="174">
        <f t="shared" si="38"/>
        <v>0</v>
      </c>
      <c r="AC44" s="174">
        <f t="shared" si="38"/>
        <v>0</v>
      </c>
      <c r="AD44" s="174">
        <f t="shared" si="38"/>
        <v>0</v>
      </c>
      <c r="AE44" s="174">
        <f t="shared" si="38"/>
        <v>0</v>
      </c>
      <c r="AF44" s="174">
        <f t="shared" si="39"/>
        <v>34363.46000000005</v>
      </c>
    </row>
    <row r="45" spans="1:33" outlineLevel="1" x14ac:dyDescent="0.35">
      <c r="A45" s="194">
        <f t="shared" ref="A45:A54" si="43">+A44</f>
        <v>2024</v>
      </c>
      <c r="B45" s="194">
        <v>3</v>
      </c>
      <c r="C45" s="195" t="s">
        <v>302</v>
      </c>
      <c r="D45" s="212">
        <v>259099.24</v>
      </c>
      <c r="J45" s="198">
        <f t="shared" si="10"/>
        <v>2024.03</v>
      </c>
      <c r="K45" s="194">
        <f t="shared" ref="K45:K54" si="44">+K44</f>
        <v>2024</v>
      </c>
      <c r="L45" s="194">
        <v>3</v>
      </c>
      <c r="M45" s="195" t="s">
        <v>302</v>
      </c>
      <c r="N45" s="203">
        <f t="shared" si="40"/>
        <v>259099.24</v>
      </c>
      <c r="O45" s="203">
        <f t="shared" si="35"/>
        <v>259099.24</v>
      </c>
      <c r="P45" s="203">
        <f t="shared" si="36"/>
        <v>0</v>
      </c>
      <c r="Q45" s="203">
        <f t="shared" si="37"/>
        <v>21591.599999999999</v>
      </c>
      <c r="R45" s="194">
        <f t="shared" si="41"/>
        <v>2025</v>
      </c>
      <c r="S45" s="194">
        <f t="shared" si="42"/>
        <v>2</v>
      </c>
      <c r="T45" s="174">
        <f t="shared" si="38"/>
        <v>21591.599999999999</v>
      </c>
      <c r="U45" s="174">
        <f t="shared" si="38"/>
        <v>21591.640000000007</v>
      </c>
      <c r="V45" s="174">
        <f t="shared" si="38"/>
        <v>0</v>
      </c>
      <c r="W45" s="174">
        <f t="shared" si="38"/>
        <v>0</v>
      </c>
      <c r="X45" s="174">
        <f t="shared" si="38"/>
        <v>0</v>
      </c>
      <c r="Y45" s="174">
        <f t="shared" si="38"/>
        <v>0</v>
      </c>
      <c r="Z45" s="174">
        <f t="shared" si="38"/>
        <v>0</v>
      </c>
      <c r="AA45" s="174">
        <f t="shared" si="38"/>
        <v>0</v>
      </c>
      <c r="AB45" s="174">
        <f t="shared" si="38"/>
        <v>0</v>
      </c>
      <c r="AC45" s="174">
        <f t="shared" si="38"/>
        <v>0</v>
      </c>
      <c r="AD45" s="174">
        <f t="shared" si="38"/>
        <v>0</v>
      </c>
      <c r="AE45" s="174">
        <f t="shared" si="38"/>
        <v>0</v>
      </c>
      <c r="AF45" s="174">
        <f t="shared" si="39"/>
        <v>43183.240000000005</v>
      </c>
    </row>
    <row r="46" spans="1:33" outlineLevel="1" x14ac:dyDescent="0.35">
      <c r="A46" s="194">
        <f t="shared" si="43"/>
        <v>2024</v>
      </c>
      <c r="B46" s="194">
        <v>4</v>
      </c>
      <c r="C46" s="195" t="s">
        <v>303</v>
      </c>
      <c r="D46" s="212">
        <v>261892.83000000002</v>
      </c>
      <c r="J46" s="198">
        <f t="shared" si="10"/>
        <v>2024.04</v>
      </c>
      <c r="K46" s="194">
        <f t="shared" si="44"/>
        <v>2024</v>
      </c>
      <c r="L46" s="194">
        <v>4</v>
      </c>
      <c r="M46" s="195" t="s">
        <v>303</v>
      </c>
      <c r="N46" s="203">
        <f t="shared" si="40"/>
        <v>261892.83000000002</v>
      </c>
      <c r="O46" s="203">
        <f t="shared" si="35"/>
        <v>261892.83000000002</v>
      </c>
      <c r="P46" s="203">
        <f t="shared" si="36"/>
        <v>0</v>
      </c>
      <c r="Q46" s="203">
        <f t="shared" si="37"/>
        <v>21824.400000000001</v>
      </c>
      <c r="R46" s="194">
        <f t="shared" si="41"/>
        <v>2025</v>
      </c>
      <c r="S46" s="194">
        <f t="shared" si="42"/>
        <v>3</v>
      </c>
      <c r="T46" s="174">
        <f t="shared" si="38"/>
        <v>21824.400000000001</v>
      </c>
      <c r="U46" s="174">
        <f t="shared" si="38"/>
        <v>21824.400000000001</v>
      </c>
      <c r="V46" s="174">
        <f t="shared" si="38"/>
        <v>21824.43</v>
      </c>
      <c r="W46" s="174">
        <f t="shared" si="38"/>
        <v>0</v>
      </c>
      <c r="X46" s="174">
        <f t="shared" si="38"/>
        <v>0</v>
      </c>
      <c r="Y46" s="174">
        <f t="shared" si="38"/>
        <v>0</v>
      </c>
      <c r="Z46" s="174">
        <f t="shared" si="38"/>
        <v>0</v>
      </c>
      <c r="AA46" s="174">
        <f t="shared" si="38"/>
        <v>0</v>
      </c>
      <c r="AB46" s="174">
        <f t="shared" si="38"/>
        <v>0</v>
      </c>
      <c r="AC46" s="174">
        <f t="shared" si="38"/>
        <v>0</v>
      </c>
      <c r="AD46" s="174">
        <f t="shared" si="38"/>
        <v>0</v>
      </c>
      <c r="AE46" s="174">
        <f t="shared" si="38"/>
        <v>0</v>
      </c>
      <c r="AF46" s="174">
        <f t="shared" si="39"/>
        <v>65473.23</v>
      </c>
    </row>
    <row r="47" spans="1:33" outlineLevel="1" x14ac:dyDescent="0.35">
      <c r="A47" s="194">
        <f t="shared" si="43"/>
        <v>2024</v>
      </c>
      <c r="B47" s="194">
        <v>5</v>
      </c>
      <c r="C47" s="195" t="s">
        <v>166</v>
      </c>
      <c r="D47" s="212">
        <v>389277.5</v>
      </c>
      <c r="J47" s="198">
        <f t="shared" si="10"/>
        <v>2024.05</v>
      </c>
      <c r="K47" s="194">
        <f t="shared" si="44"/>
        <v>2024</v>
      </c>
      <c r="L47" s="194">
        <v>5</v>
      </c>
      <c r="M47" s="195" t="s">
        <v>166</v>
      </c>
      <c r="N47" s="203">
        <f t="shared" si="40"/>
        <v>389277.5</v>
      </c>
      <c r="O47" s="203">
        <f t="shared" si="35"/>
        <v>389277.5</v>
      </c>
      <c r="P47" s="203">
        <f t="shared" si="36"/>
        <v>0</v>
      </c>
      <c r="Q47" s="203">
        <f t="shared" si="37"/>
        <v>32439.79</v>
      </c>
      <c r="R47" s="194">
        <f t="shared" si="41"/>
        <v>2025</v>
      </c>
      <c r="S47" s="194">
        <f t="shared" si="42"/>
        <v>4</v>
      </c>
      <c r="T47" s="174">
        <f t="shared" si="38"/>
        <v>32439.79</v>
      </c>
      <c r="U47" s="174">
        <f t="shared" si="38"/>
        <v>32439.79</v>
      </c>
      <c r="V47" s="174">
        <f t="shared" si="38"/>
        <v>32439.79</v>
      </c>
      <c r="W47" s="174">
        <f t="shared" si="38"/>
        <v>32439.810000000019</v>
      </c>
      <c r="X47" s="174">
        <f t="shared" si="38"/>
        <v>0</v>
      </c>
      <c r="Y47" s="174">
        <f t="shared" si="38"/>
        <v>0</v>
      </c>
      <c r="Z47" s="174">
        <f t="shared" si="38"/>
        <v>0</v>
      </c>
      <c r="AA47" s="174">
        <f t="shared" si="38"/>
        <v>0</v>
      </c>
      <c r="AB47" s="174">
        <f t="shared" si="38"/>
        <v>0</v>
      </c>
      <c r="AC47" s="174">
        <f t="shared" si="38"/>
        <v>0</v>
      </c>
      <c r="AD47" s="174">
        <f t="shared" si="38"/>
        <v>0</v>
      </c>
      <c r="AE47" s="174">
        <f t="shared" si="38"/>
        <v>0</v>
      </c>
      <c r="AF47" s="174">
        <f t="shared" si="39"/>
        <v>129759.18000000002</v>
      </c>
    </row>
    <row r="48" spans="1:33" outlineLevel="1" x14ac:dyDescent="0.35">
      <c r="A48" s="194">
        <f t="shared" si="43"/>
        <v>2024</v>
      </c>
      <c r="B48" s="194">
        <v>6</v>
      </c>
      <c r="C48" s="195" t="s">
        <v>304</v>
      </c>
      <c r="D48" s="202">
        <v>566113.78</v>
      </c>
      <c r="J48" s="198">
        <f t="shared" si="10"/>
        <v>2024.06</v>
      </c>
      <c r="K48" s="194">
        <f t="shared" si="44"/>
        <v>2024</v>
      </c>
      <c r="L48" s="194">
        <v>6</v>
      </c>
      <c r="M48" s="195" t="s">
        <v>304</v>
      </c>
      <c r="N48" s="203">
        <f t="shared" si="40"/>
        <v>566113.78</v>
      </c>
      <c r="O48" s="203">
        <f t="shared" si="35"/>
        <v>566113.78</v>
      </c>
      <c r="P48" s="203">
        <f t="shared" si="36"/>
        <v>0</v>
      </c>
      <c r="Q48" s="203">
        <f t="shared" si="37"/>
        <v>47176.15</v>
      </c>
      <c r="R48" s="194">
        <f t="shared" si="41"/>
        <v>2025</v>
      </c>
      <c r="S48" s="194">
        <f t="shared" si="42"/>
        <v>5</v>
      </c>
      <c r="T48" s="174">
        <f t="shared" si="38"/>
        <v>47176.15</v>
      </c>
      <c r="U48" s="174">
        <f t="shared" si="38"/>
        <v>47176.15</v>
      </c>
      <c r="V48" s="174">
        <f t="shared" si="38"/>
        <v>47176.15</v>
      </c>
      <c r="W48" s="174">
        <f t="shared" si="38"/>
        <v>47176.15</v>
      </c>
      <c r="X48" s="174">
        <f t="shared" si="38"/>
        <v>47176.129999999983</v>
      </c>
      <c r="Y48" s="174">
        <f t="shared" si="38"/>
        <v>0</v>
      </c>
      <c r="Z48" s="174">
        <f t="shared" si="38"/>
        <v>0</v>
      </c>
      <c r="AA48" s="174">
        <f t="shared" si="38"/>
        <v>0</v>
      </c>
      <c r="AB48" s="174">
        <f t="shared" si="38"/>
        <v>0</v>
      </c>
      <c r="AC48" s="174">
        <f t="shared" si="38"/>
        <v>0</v>
      </c>
      <c r="AD48" s="174">
        <f t="shared" si="38"/>
        <v>0</v>
      </c>
      <c r="AE48" s="174">
        <f t="shared" si="38"/>
        <v>0</v>
      </c>
      <c r="AF48" s="174">
        <f t="shared" si="39"/>
        <v>235880.72999999998</v>
      </c>
    </row>
    <row r="49" spans="1:35" outlineLevel="1" x14ac:dyDescent="0.35">
      <c r="A49" s="194">
        <f t="shared" si="43"/>
        <v>2024</v>
      </c>
      <c r="B49" s="194">
        <v>7</v>
      </c>
      <c r="C49" s="195" t="s">
        <v>343</v>
      </c>
      <c r="D49" s="202">
        <v>558933.55000000005</v>
      </c>
      <c r="J49" s="198">
        <f t="shared" si="10"/>
        <v>2024.07</v>
      </c>
      <c r="K49" s="194">
        <f t="shared" si="44"/>
        <v>2024</v>
      </c>
      <c r="L49" s="194">
        <v>7</v>
      </c>
      <c r="M49" s="195" t="s">
        <v>343</v>
      </c>
      <c r="N49" s="203">
        <f t="shared" si="40"/>
        <v>558933.55000000005</v>
      </c>
      <c r="O49" s="203">
        <f t="shared" si="35"/>
        <v>558933.55000000005</v>
      </c>
      <c r="P49" s="203">
        <f t="shared" si="36"/>
        <v>0</v>
      </c>
      <c r="Q49" s="203">
        <f t="shared" si="37"/>
        <v>46577.8</v>
      </c>
      <c r="R49" s="194">
        <f t="shared" si="41"/>
        <v>2025</v>
      </c>
      <c r="S49" s="194">
        <f t="shared" si="42"/>
        <v>6</v>
      </c>
      <c r="T49" s="174">
        <f t="shared" si="38"/>
        <v>46577.8</v>
      </c>
      <c r="U49" s="174">
        <f t="shared" si="38"/>
        <v>46577.8</v>
      </c>
      <c r="V49" s="174">
        <f t="shared" si="38"/>
        <v>46577.8</v>
      </c>
      <c r="W49" s="174">
        <f t="shared" si="38"/>
        <v>46577.8</v>
      </c>
      <c r="X49" s="174">
        <f t="shared" si="38"/>
        <v>46577.8</v>
      </c>
      <c r="Y49" s="174">
        <f t="shared" si="38"/>
        <v>46577.749999999956</v>
      </c>
      <c r="Z49" s="174">
        <f t="shared" si="38"/>
        <v>0</v>
      </c>
      <c r="AA49" s="174">
        <f t="shared" si="38"/>
        <v>0</v>
      </c>
      <c r="AB49" s="174">
        <f t="shared" si="38"/>
        <v>0</v>
      </c>
      <c r="AC49" s="174">
        <f t="shared" si="38"/>
        <v>0</v>
      </c>
      <c r="AD49" s="174">
        <f t="shared" si="38"/>
        <v>0</v>
      </c>
      <c r="AE49" s="174">
        <f t="shared" si="38"/>
        <v>0</v>
      </c>
      <c r="AF49" s="174">
        <f t="shared" si="39"/>
        <v>279466.74999999994</v>
      </c>
    </row>
    <row r="50" spans="1:35" outlineLevel="1" x14ac:dyDescent="0.35">
      <c r="A50" s="194">
        <f t="shared" si="43"/>
        <v>2024</v>
      </c>
      <c r="B50" s="194">
        <v>8</v>
      </c>
      <c r="C50" s="195" t="s">
        <v>526</v>
      </c>
      <c r="D50" s="202">
        <v>787408.31</v>
      </c>
      <c r="J50" s="198">
        <f t="shared" si="10"/>
        <v>2024.08</v>
      </c>
      <c r="K50" s="194">
        <f t="shared" si="44"/>
        <v>2024</v>
      </c>
      <c r="L50" s="194">
        <v>8</v>
      </c>
      <c r="M50" s="195" t="s">
        <v>526</v>
      </c>
      <c r="N50" s="203">
        <f t="shared" si="40"/>
        <v>787408.31</v>
      </c>
      <c r="O50" s="203">
        <f t="shared" si="35"/>
        <v>787408.31</v>
      </c>
      <c r="P50" s="203">
        <f t="shared" si="36"/>
        <v>0</v>
      </c>
      <c r="Q50" s="203">
        <f t="shared" si="37"/>
        <v>65617.36</v>
      </c>
      <c r="R50" s="194">
        <f t="shared" si="41"/>
        <v>2025</v>
      </c>
      <c r="S50" s="194">
        <f t="shared" si="42"/>
        <v>7</v>
      </c>
      <c r="T50" s="174">
        <f t="shared" si="38"/>
        <v>65617.36</v>
      </c>
      <c r="U50" s="174">
        <f t="shared" si="38"/>
        <v>65617.36</v>
      </c>
      <c r="V50" s="174">
        <f t="shared" si="38"/>
        <v>65617.36</v>
      </c>
      <c r="W50" s="174">
        <f t="shared" si="38"/>
        <v>65617.36</v>
      </c>
      <c r="X50" s="174">
        <f t="shared" si="38"/>
        <v>65617.36</v>
      </c>
      <c r="Y50" s="174">
        <f t="shared" si="38"/>
        <v>65617.36</v>
      </c>
      <c r="Z50" s="174">
        <f t="shared" si="38"/>
        <v>65617.349999999991</v>
      </c>
      <c r="AA50" s="174">
        <f t="shared" si="38"/>
        <v>0</v>
      </c>
      <c r="AB50" s="174">
        <f t="shared" si="38"/>
        <v>0</v>
      </c>
      <c r="AC50" s="174">
        <f t="shared" si="38"/>
        <v>0</v>
      </c>
      <c r="AD50" s="174">
        <f t="shared" si="38"/>
        <v>0</v>
      </c>
      <c r="AE50" s="174">
        <f t="shared" si="38"/>
        <v>0</v>
      </c>
      <c r="AF50" s="174">
        <f t="shared" si="39"/>
        <v>459321.50999999995</v>
      </c>
    </row>
    <row r="51" spans="1:35" outlineLevel="1" x14ac:dyDescent="0.35">
      <c r="A51" s="194">
        <f t="shared" si="43"/>
        <v>2024</v>
      </c>
      <c r="B51" s="194">
        <v>9</v>
      </c>
      <c r="C51" s="195" t="s">
        <v>527</v>
      </c>
      <c r="D51" s="202">
        <v>675660.40999999992</v>
      </c>
      <c r="J51" s="198">
        <f t="shared" si="10"/>
        <v>2024.09</v>
      </c>
      <c r="K51" s="194">
        <f t="shared" si="44"/>
        <v>2024</v>
      </c>
      <c r="L51" s="194">
        <v>9</v>
      </c>
      <c r="M51" s="195" t="s">
        <v>527</v>
      </c>
      <c r="N51" s="203">
        <f t="shared" si="40"/>
        <v>675660.40999999992</v>
      </c>
      <c r="O51" s="203">
        <f t="shared" si="35"/>
        <v>675660.40999999992</v>
      </c>
      <c r="P51" s="203">
        <f t="shared" si="36"/>
        <v>0</v>
      </c>
      <c r="Q51" s="203">
        <f t="shared" si="37"/>
        <v>56305.03</v>
      </c>
      <c r="R51" s="194">
        <f t="shared" si="41"/>
        <v>2025</v>
      </c>
      <c r="S51" s="194">
        <f t="shared" si="42"/>
        <v>8</v>
      </c>
      <c r="T51" s="174">
        <f t="shared" si="38"/>
        <v>56305.03</v>
      </c>
      <c r="U51" s="174">
        <f t="shared" si="38"/>
        <v>56305.03</v>
      </c>
      <c r="V51" s="174">
        <f t="shared" si="38"/>
        <v>56305.03</v>
      </c>
      <c r="W51" s="174">
        <f t="shared" si="38"/>
        <v>56305.03</v>
      </c>
      <c r="X51" s="174">
        <f t="shared" si="38"/>
        <v>56305.03</v>
      </c>
      <c r="Y51" s="174">
        <f t="shared" si="38"/>
        <v>56305.03</v>
      </c>
      <c r="Z51" s="174">
        <f t="shared" si="38"/>
        <v>56305.03</v>
      </c>
      <c r="AA51" s="174">
        <f t="shared" si="38"/>
        <v>56305.079999999929</v>
      </c>
      <c r="AB51" s="174">
        <f t="shared" si="38"/>
        <v>0</v>
      </c>
      <c r="AC51" s="174">
        <f t="shared" si="38"/>
        <v>0</v>
      </c>
      <c r="AD51" s="174">
        <f t="shared" si="38"/>
        <v>0</v>
      </c>
      <c r="AE51" s="174">
        <f t="shared" si="38"/>
        <v>0</v>
      </c>
      <c r="AF51" s="174">
        <f t="shared" si="39"/>
        <v>450440.29000000004</v>
      </c>
    </row>
    <row r="52" spans="1:35" outlineLevel="1" x14ac:dyDescent="0.35">
      <c r="A52" s="194">
        <f t="shared" si="43"/>
        <v>2024</v>
      </c>
      <c r="B52" s="204">
        <v>10</v>
      </c>
      <c r="C52" s="205" t="s">
        <v>528</v>
      </c>
      <c r="D52" s="202">
        <v>606917.40999999992</v>
      </c>
      <c r="J52" s="198">
        <f t="shared" si="10"/>
        <v>2024.1</v>
      </c>
      <c r="K52" s="194">
        <f t="shared" si="44"/>
        <v>2024</v>
      </c>
      <c r="L52" s="204">
        <v>10</v>
      </c>
      <c r="M52" s="205" t="s">
        <v>528</v>
      </c>
      <c r="N52" s="203">
        <f t="shared" si="40"/>
        <v>606917.40999999992</v>
      </c>
      <c r="O52" s="203">
        <f t="shared" si="35"/>
        <v>606917.40999999992</v>
      </c>
      <c r="P52" s="203">
        <f t="shared" si="36"/>
        <v>0</v>
      </c>
      <c r="Q52" s="203">
        <f t="shared" si="37"/>
        <v>50576.45</v>
      </c>
      <c r="R52" s="194">
        <f t="shared" si="41"/>
        <v>2025</v>
      </c>
      <c r="S52" s="194">
        <f t="shared" si="42"/>
        <v>9</v>
      </c>
      <c r="T52" s="174">
        <f t="shared" si="38"/>
        <v>50576.45</v>
      </c>
      <c r="U52" s="174">
        <f t="shared" si="38"/>
        <v>50576.45</v>
      </c>
      <c r="V52" s="174">
        <f t="shared" si="38"/>
        <v>50576.45</v>
      </c>
      <c r="W52" s="174">
        <f t="shared" si="38"/>
        <v>50576.45</v>
      </c>
      <c r="X52" s="174">
        <f t="shared" si="38"/>
        <v>50576.45</v>
      </c>
      <c r="Y52" s="174">
        <f t="shared" si="38"/>
        <v>50576.45</v>
      </c>
      <c r="Z52" s="174">
        <f t="shared" si="38"/>
        <v>50576.45</v>
      </c>
      <c r="AA52" s="174">
        <f t="shared" si="38"/>
        <v>50576.45</v>
      </c>
      <c r="AB52" s="174">
        <f t="shared" si="38"/>
        <v>50576.460000000006</v>
      </c>
      <c r="AC52" s="174">
        <f t="shared" si="38"/>
        <v>0</v>
      </c>
      <c r="AD52" s="174">
        <f t="shared" si="38"/>
        <v>0</v>
      </c>
      <c r="AE52" s="174">
        <f t="shared" si="38"/>
        <v>0</v>
      </c>
      <c r="AF52" s="174">
        <f t="shared" si="39"/>
        <v>455188.06000000006</v>
      </c>
    </row>
    <row r="53" spans="1:35" outlineLevel="1" x14ac:dyDescent="0.35">
      <c r="A53" s="194">
        <f t="shared" si="43"/>
        <v>2024</v>
      </c>
      <c r="B53" s="204">
        <v>11</v>
      </c>
      <c r="C53" s="205" t="s">
        <v>529</v>
      </c>
      <c r="D53" s="202">
        <v>813533.07</v>
      </c>
      <c r="J53" s="198">
        <f t="shared" si="10"/>
        <v>2024.11</v>
      </c>
      <c r="K53" s="194">
        <f t="shared" si="44"/>
        <v>2024</v>
      </c>
      <c r="L53" s="204">
        <v>11</v>
      </c>
      <c r="M53" s="205" t="s">
        <v>529</v>
      </c>
      <c r="N53" s="203">
        <f t="shared" si="40"/>
        <v>813533.07</v>
      </c>
      <c r="O53" s="203">
        <f t="shared" si="35"/>
        <v>813533.07</v>
      </c>
      <c r="P53" s="203">
        <f t="shared" si="36"/>
        <v>0</v>
      </c>
      <c r="Q53" s="203">
        <f t="shared" si="37"/>
        <v>67794.42</v>
      </c>
      <c r="R53" s="194">
        <f t="shared" si="41"/>
        <v>2025</v>
      </c>
      <c r="S53" s="194">
        <f t="shared" si="42"/>
        <v>10</v>
      </c>
      <c r="T53" s="174">
        <f t="shared" si="38"/>
        <v>67794.42</v>
      </c>
      <c r="U53" s="174">
        <f t="shared" si="38"/>
        <v>67794.42</v>
      </c>
      <c r="V53" s="174">
        <f t="shared" si="38"/>
        <v>67794.42</v>
      </c>
      <c r="W53" s="174">
        <f t="shared" si="38"/>
        <v>67794.42</v>
      </c>
      <c r="X53" s="174">
        <f t="shared" si="38"/>
        <v>67794.42</v>
      </c>
      <c r="Y53" s="174">
        <f t="shared" si="38"/>
        <v>67794.42</v>
      </c>
      <c r="Z53" s="174">
        <f t="shared" si="38"/>
        <v>67794.42</v>
      </c>
      <c r="AA53" s="174">
        <f t="shared" si="38"/>
        <v>67794.42</v>
      </c>
      <c r="AB53" s="174">
        <f t="shared" si="38"/>
        <v>67794.42</v>
      </c>
      <c r="AC53" s="174">
        <f t="shared" si="38"/>
        <v>67794.44999999991</v>
      </c>
      <c r="AD53" s="174">
        <f t="shared" si="38"/>
        <v>0</v>
      </c>
      <c r="AE53" s="174">
        <f t="shared" si="38"/>
        <v>0</v>
      </c>
      <c r="AF53" s="174">
        <f t="shared" si="39"/>
        <v>677944.23</v>
      </c>
    </row>
    <row r="54" spans="1:35" outlineLevel="1" x14ac:dyDescent="0.35">
      <c r="A54" s="194">
        <f t="shared" si="43"/>
        <v>2024</v>
      </c>
      <c r="B54" s="204">
        <v>12</v>
      </c>
      <c r="C54" s="205" t="s">
        <v>523</v>
      </c>
      <c r="D54" s="202">
        <v>497973.43000000011</v>
      </c>
      <c r="J54" s="198">
        <f t="shared" si="10"/>
        <v>2024.12</v>
      </c>
      <c r="K54" s="194">
        <f t="shared" si="44"/>
        <v>2024</v>
      </c>
      <c r="L54" s="204">
        <v>12</v>
      </c>
      <c r="M54" s="205" t="s">
        <v>523</v>
      </c>
      <c r="N54" s="203">
        <f t="shared" si="40"/>
        <v>497973.43000000011</v>
      </c>
      <c r="O54" s="203">
        <f t="shared" si="35"/>
        <v>497973.43000000011</v>
      </c>
      <c r="P54" s="203">
        <f t="shared" si="36"/>
        <v>0</v>
      </c>
      <c r="Q54" s="203">
        <f t="shared" si="37"/>
        <v>41497.79</v>
      </c>
      <c r="R54" s="194">
        <f t="shared" si="41"/>
        <v>2025</v>
      </c>
      <c r="S54" s="194">
        <f t="shared" si="42"/>
        <v>11</v>
      </c>
      <c r="T54" s="174">
        <f t="shared" si="38"/>
        <v>41497.79</v>
      </c>
      <c r="U54" s="174">
        <f t="shared" si="38"/>
        <v>41497.79</v>
      </c>
      <c r="V54" s="174">
        <f t="shared" si="38"/>
        <v>41497.79</v>
      </c>
      <c r="W54" s="174">
        <f t="shared" si="38"/>
        <v>41497.79</v>
      </c>
      <c r="X54" s="174">
        <f t="shared" si="38"/>
        <v>41497.79</v>
      </c>
      <c r="Y54" s="174">
        <f t="shared" si="38"/>
        <v>41497.79</v>
      </c>
      <c r="Z54" s="174">
        <f t="shared" si="38"/>
        <v>41497.79</v>
      </c>
      <c r="AA54" s="174">
        <f t="shared" si="38"/>
        <v>41497.79</v>
      </c>
      <c r="AB54" s="174">
        <f t="shared" si="38"/>
        <v>41497.79</v>
      </c>
      <c r="AC54" s="174">
        <f t="shared" si="38"/>
        <v>41497.79</v>
      </c>
      <c r="AD54" s="174">
        <f t="shared" si="38"/>
        <v>41497.740000000129</v>
      </c>
      <c r="AE54" s="174">
        <f t="shared" si="38"/>
        <v>0</v>
      </c>
      <c r="AF54" s="174">
        <f t="shared" si="39"/>
        <v>456475.64000000007</v>
      </c>
    </row>
    <row r="55" spans="1:35" x14ac:dyDescent="0.35">
      <c r="A55" s="208">
        <f>+A54</f>
        <v>2024</v>
      </c>
      <c r="B55" s="208"/>
      <c r="C55" s="209" t="s">
        <v>116</v>
      </c>
      <c r="D55" s="210">
        <f>SUM(D43:D54)</f>
        <v>6158126.4299999997</v>
      </c>
      <c r="J55" s="211"/>
      <c r="K55" s="208">
        <f>+K54</f>
        <v>2024</v>
      </c>
      <c r="L55" s="208"/>
      <c r="M55" s="209" t="s">
        <v>116</v>
      </c>
      <c r="N55" s="210">
        <f>SUM(N43:N54)</f>
        <v>6158126.4299999997</v>
      </c>
      <c r="O55" s="210">
        <f>SUM(O43:O54)</f>
        <v>6158126.4299999997</v>
      </c>
      <c r="P55" s="210">
        <f>SUM(P43:P54)</f>
        <v>0</v>
      </c>
      <c r="Q55" s="210">
        <f>SUM(Q43:Q54)</f>
        <v>513177.2</v>
      </c>
      <c r="R55" s="210"/>
      <c r="S55" s="210"/>
      <c r="T55" s="210">
        <f t="shared" ref="T55:AF55" si="45">SUM(T43:T54)</f>
        <v>485764.25000000006</v>
      </c>
      <c r="U55" s="210">
        <f t="shared" si="45"/>
        <v>451400.83</v>
      </c>
      <c r="V55" s="210">
        <f t="shared" si="45"/>
        <v>429809.21999999991</v>
      </c>
      <c r="W55" s="210">
        <f t="shared" si="45"/>
        <v>407984.81</v>
      </c>
      <c r="X55" s="210">
        <f t="shared" si="45"/>
        <v>375544.97999999992</v>
      </c>
      <c r="Y55" s="210">
        <f t="shared" si="45"/>
        <v>328368.79999999993</v>
      </c>
      <c r="Z55" s="210">
        <f t="shared" si="45"/>
        <v>281791.03999999998</v>
      </c>
      <c r="AA55" s="210">
        <f t="shared" si="45"/>
        <v>216173.73999999993</v>
      </c>
      <c r="AB55" s="210">
        <f t="shared" si="45"/>
        <v>159868.67000000001</v>
      </c>
      <c r="AC55" s="210">
        <f t="shared" si="45"/>
        <v>109292.2399999999</v>
      </c>
      <c r="AD55" s="210">
        <f t="shared" si="45"/>
        <v>41497.740000000129</v>
      </c>
      <c r="AE55" s="210">
        <f t="shared" si="45"/>
        <v>0</v>
      </c>
      <c r="AF55" s="210">
        <f t="shared" si="45"/>
        <v>3287496.3200000003</v>
      </c>
      <c r="AG55" s="13">
        <f>+N16+N29+N42+N55</f>
        <v>9150219.209999999</v>
      </c>
      <c r="AI55" s="13">
        <f>+AG55</f>
        <v>9150219.209999999</v>
      </c>
    </row>
    <row r="56" spans="1:35" outlineLevel="1" x14ac:dyDescent="0.35">
      <c r="A56" s="194">
        <f>+A55+1</f>
        <v>2025</v>
      </c>
      <c r="B56" s="194">
        <v>1</v>
      </c>
      <c r="C56" s="195" t="s">
        <v>524</v>
      </c>
      <c r="D56" s="196">
        <v>521560.9</v>
      </c>
      <c r="J56" s="198">
        <f t="shared" si="10"/>
        <v>2025.01</v>
      </c>
      <c r="K56" s="194">
        <f>+K55+1</f>
        <v>2025</v>
      </c>
      <c r="L56" s="194">
        <v>1</v>
      </c>
      <c r="M56" s="195" t="s">
        <v>524</v>
      </c>
      <c r="N56" s="199">
        <f>IF(I$3-J56&gt;=0,D56,0)</f>
        <v>521560.9</v>
      </c>
      <c r="O56" s="200">
        <f>IF((H$3-K56)*12+(H$2-L56+1)&gt;=$H$6,N56,IF((H$3-K56)*12+(H$2-L56+1)&lt;0,0,((H$3-K56)*12+(H$2-L56+1))*Q56))</f>
        <v>521560.9</v>
      </c>
      <c r="P56" s="201">
        <f>+N56-O56</f>
        <v>0</v>
      </c>
      <c r="Q56" s="201">
        <f>ROUND(N56/H$6,2)</f>
        <v>43463.41</v>
      </c>
      <c r="R56" s="194">
        <f>+R54</f>
        <v>2025</v>
      </c>
      <c r="S56" s="194">
        <f>+S54+1</f>
        <v>12</v>
      </c>
      <c r="T56" s="200">
        <f t="shared" ref="T56:AE57" si="46">IF($H$3=$K56,IF(T$8&lt;$L56,0,$Q56))+IF($H$3&lt;$R56,$Q56,0)+IF($H$3=$R56,IF(T$8&lt;$S56,$Q56,0))+IF($H$3=$R56,IF(T$8=$S56,$Q56+($N56-$Q56*$H$6),IF($H$3&gt;$R56,0)))+IF($O56=0,-$Q56,IF($H$3&gt;$K56,0,-$Q56))</f>
        <v>43463.41</v>
      </c>
      <c r="U56" s="200">
        <f t="shared" si="46"/>
        <v>43463.41</v>
      </c>
      <c r="V56" s="200">
        <f t="shared" si="46"/>
        <v>43463.41</v>
      </c>
      <c r="W56" s="200">
        <f t="shared" si="46"/>
        <v>43463.41</v>
      </c>
      <c r="X56" s="200">
        <f t="shared" si="46"/>
        <v>43463.41</v>
      </c>
      <c r="Y56" s="200">
        <f t="shared" si="46"/>
        <v>43463.41</v>
      </c>
      <c r="Z56" s="200">
        <f t="shared" si="46"/>
        <v>43463.41</v>
      </c>
      <c r="AA56" s="200">
        <f t="shared" si="46"/>
        <v>43463.41</v>
      </c>
      <c r="AB56" s="200">
        <f t="shared" si="46"/>
        <v>43463.41</v>
      </c>
      <c r="AC56" s="200">
        <f t="shared" si="46"/>
        <v>43463.41</v>
      </c>
      <c r="AD56" s="200">
        <f t="shared" si="46"/>
        <v>43463.41</v>
      </c>
      <c r="AE56" s="200">
        <f t="shared" si="46"/>
        <v>43463.389999999985</v>
      </c>
      <c r="AF56" s="200">
        <f t="shared" ref="AF56:AF67" si="47">SUM(T56:AE56)</f>
        <v>521560.90000000014</v>
      </c>
    </row>
    <row r="57" spans="1:35" outlineLevel="1" x14ac:dyDescent="0.35">
      <c r="A57" s="194">
        <f>+A56</f>
        <v>2025</v>
      </c>
      <c r="B57" s="194">
        <v>2</v>
      </c>
      <c r="C57" s="195" t="s">
        <v>525</v>
      </c>
      <c r="D57" s="196">
        <v>449547.51999999996</v>
      </c>
      <c r="J57" s="198">
        <f t="shared" si="10"/>
        <v>2025.02</v>
      </c>
      <c r="K57" s="194">
        <f>+K56</f>
        <v>2025</v>
      </c>
      <c r="L57" s="194">
        <v>2</v>
      </c>
      <c r="M57" s="195" t="s">
        <v>525</v>
      </c>
      <c r="N57" s="311">
        <f t="shared" ref="N57:N67" si="48">IF(I$3-J57&gt;=0,D57,0)</f>
        <v>449547.51999999996</v>
      </c>
      <c r="O57" s="203">
        <f>IF((H$3-K57)*12+(H$2-L57+1)&gt;=$H$6,N57,IF((H$3-K57)*12+(H$2-L57+1)&lt;0,0,((H$3-K57)*12+(H$2-L57+1))*Q57))</f>
        <v>412085.19</v>
      </c>
      <c r="P57" s="203">
        <f>+N57-O57</f>
        <v>37462.329999999958</v>
      </c>
      <c r="Q57" s="203">
        <f>ROUND(N57/H$6,2)</f>
        <v>37462.29</v>
      </c>
      <c r="R57" s="194">
        <f t="shared" ref="R57:R67" si="49">+K57+H$5</f>
        <v>2026</v>
      </c>
      <c r="S57" s="194">
        <f t="shared" ref="S57:S67" si="50">+L57-1</f>
        <v>1</v>
      </c>
      <c r="T57" s="174">
        <f t="shared" si="46"/>
        <v>0</v>
      </c>
      <c r="U57" s="174">
        <f t="shared" si="46"/>
        <v>37462.29</v>
      </c>
      <c r="V57" s="174">
        <f t="shared" si="46"/>
        <v>37462.29</v>
      </c>
      <c r="W57" s="174">
        <f t="shared" si="46"/>
        <v>37462.29</v>
      </c>
      <c r="X57" s="174">
        <f t="shared" si="46"/>
        <v>37462.29</v>
      </c>
      <c r="Y57" s="174">
        <f t="shared" si="46"/>
        <v>37462.29</v>
      </c>
      <c r="Z57" s="174">
        <f t="shared" si="46"/>
        <v>37462.29</v>
      </c>
      <c r="AA57" s="174">
        <f t="shared" si="46"/>
        <v>37462.29</v>
      </c>
      <c r="AB57" s="174">
        <f t="shared" si="46"/>
        <v>37462.29</v>
      </c>
      <c r="AC57" s="174">
        <f t="shared" si="46"/>
        <v>37462.29</v>
      </c>
      <c r="AD57" s="174">
        <f t="shared" si="46"/>
        <v>37462.29</v>
      </c>
      <c r="AE57" s="174">
        <f t="shared" si="46"/>
        <v>37462.29</v>
      </c>
      <c r="AF57" s="309">
        <f t="shared" si="47"/>
        <v>412085.18999999994</v>
      </c>
    </row>
    <row r="58" spans="1:35" outlineLevel="1" x14ac:dyDescent="0.35">
      <c r="A58" s="194">
        <f t="shared" ref="A58:A67" si="51">+A57</f>
        <v>2025</v>
      </c>
      <c r="B58" s="194">
        <v>3</v>
      </c>
      <c r="C58" s="195" t="s">
        <v>302</v>
      </c>
      <c r="D58" s="196">
        <v>341048.44</v>
      </c>
      <c r="J58" s="198">
        <f t="shared" si="10"/>
        <v>2025.03</v>
      </c>
      <c r="K58" s="194">
        <f t="shared" ref="K58:K67" si="52">+K57</f>
        <v>2025</v>
      </c>
      <c r="L58" s="194">
        <v>3</v>
      </c>
      <c r="M58" s="195" t="s">
        <v>302</v>
      </c>
      <c r="N58" s="311">
        <f t="shared" si="48"/>
        <v>341048.44</v>
      </c>
      <c r="O58" s="203">
        <f t="shared" ref="O58:O67" si="53">IF((H$3-K58)*12+(H$2-L58+1)&gt;=$H$6,N58,IF((H$3-K58)*12+(H$2-L58+1)&lt;0,0,((H$3-K58)*12+(H$2-L58+1))*Q58))</f>
        <v>284207</v>
      </c>
      <c r="P58" s="203">
        <f t="shared" ref="P58:P67" si="54">+N58-O58</f>
        <v>56841.440000000002</v>
      </c>
      <c r="Q58" s="203">
        <f t="shared" ref="Q58:Q67" si="55">ROUND(N58/H$6,2)</f>
        <v>28420.7</v>
      </c>
      <c r="R58" s="194">
        <f t="shared" si="49"/>
        <v>2026</v>
      </c>
      <c r="S58" s="194">
        <f t="shared" si="50"/>
        <v>2</v>
      </c>
      <c r="T58" s="174">
        <f t="shared" si="38"/>
        <v>0</v>
      </c>
      <c r="U58" s="174">
        <f t="shared" si="38"/>
        <v>0</v>
      </c>
      <c r="V58" s="309">
        <f t="shared" si="38"/>
        <v>28420.7</v>
      </c>
      <c r="W58" s="309">
        <f t="shared" si="38"/>
        <v>28420.7</v>
      </c>
      <c r="X58" s="309">
        <f t="shared" si="38"/>
        <v>28420.7</v>
      </c>
      <c r="Y58" s="309">
        <f t="shared" si="38"/>
        <v>28420.7</v>
      </c>
      <c r="Z58" s="309">
        <f t="shared" si="38"/>
        <v>28420.7</v>
      </c>
      <c r="AA58" s="309">
        <f t="shared" si="38"/>
        <v>28420.7</v>
      </c>
      <c r="AB58" s="309">
        <f t="shared" si="38"/>
        <v>28420.7</v>
      </c>
      <c r="AC58" s="309">
        <f t="shared" si="38"/>
        <v>28420.7</v>
      </c>
      <c r="AD58" s="309">
        <f t="shared" si="38"/>
        <v>28420.7</v>
      </c>
      <c r="AE58" s="309">
        <f t="shared" si="38"/>
        <v>28420.7</v>
      </c>
      <c r="AF58" s="174">
        <f t="shared" si="47"/>
        <v>284207.00000000006</v>
      </c>
    </row>
    <row r="59" spans="1:35" outlineLevel="1" x14ac:dyDescent="0.35">
      <c r="A59" s="194">
        <f t="shared" si="51"/>
        <v>2025</v>
      </c>
      <c r="B59" s="194">
        <v>4</v>
      </c>
      <c r="C59" s="195" t="s">
        <v>303</v>
      </c>
      <c r="D59" s="196">
        <v>179709.56</v>
      </c>
      <c r="J59" s="198">
        <f t="shared" si="10"/>
        <v>2025.04</v>
      </c>
      <c r="K59" s="194">
        <f t="shared" si="52"/>
        <v>2025</v>
      </c>
      <c r="L59" s="194">
        <v>4</v>
      </c>
      <c r="M59" s="195" t="s">
        <v>303</v>
      </c>
      <c r="N59" s="203">
        <f t="shared" si="48"/>
        <v>179709.56</v>
      </c>
      <c r="O59" s="203">
        <f t="shared" si="53"/>
        <v>134782.19999999998</v>
      </c>
      <c r="P59" s="203">
        <f t="shared" si="54"/>
        <v>44927.360000000015</v>
      </c>
      <c r="Q59" s="203">
        <f t="shared" si="55"/>
        <v>14975.8</v>
      </c>
      <c r="R59" s="194">
        <f t="shared" si="49"/>
        <v>2026</v>
      </c>
      <c r="S59" s="194">
        <f t="shared" si="50"/>
        <v>3</v>
      </c>
      <c r="T59" s="174">
        <f t="shared" ref="T59:AE67" si="56">IF($H$3=$K59,IF(T$8&lt;$L59,0,$Q59))+IF($H$3&lt;$R59,$Q59,0)+IF($H$3=$R59,IF(T$8&lt;$S59,$Q59,0))+IF($H$3=$R59,IF(T$8=$S59,$Q59+($N59-$Q59*$H$6),IF($H$3&gt;$R59,0)))+IF($O59=0,-$Q59,IF($H$3&gt;$K59,0,-$Q59))</f>
        <v>0</v>
      </c>
      <c r="U59" s="174">
        <f t="shared" si="56"/>
        <v>0</v>
      </c>
      <c r="V59" s="174">
        <f t="shared" si="56"/>
        <v>0</v>
      </c>
      <c r="W59" s="174">
        <f t="shared" si="56"/>
        <v>14975.8</v>
      </c>
      <c r="X59" s="174">
        <f t="shared" si="56"/>
        <v>14975.8</v>
      </c>
      <c r="Y59" s="174">
        <f t="shared" si="56"/>
        <v>14975.8</v>
      </c>
      <c r="Z59" s="174">
        <f t="shared" si="56"/>
        <v>14975.8</v>
      </c>
      <c r="AA59" s="174">
        <f t="shared" si="56"/>
        <v>14975.8</v>
      </c>
      <c r="AB59" s="174">
        <f t="shared" si="56"/>
        <v>14975.8</v>
      </c>
      <c r="AC59" s="174">
        <f t="shared" si="56"/>
        <v>14975.8</v>
      </c>
      <c r="AD59" s="174">
        <f t="shared" si="56"/>
        <v>14975.8</v>
      </c>
      <c r="AE59" s="174">
        <f t="shared" si="56"/>
        <v>14975.8</v>
      </c>
      <c r="AF59" s="174">
        <f t="shared" si="47"/>
        <v>134782.20000000001</v>
      </c>
    </row>
    <row r="60" spans="1:35" outlineLevel="1" x14ac:dyDescent="0.35">
      <c r="A60" s="194">
        <f t="shared" si="51"/>
        <v>2025</v>
      </c>
      <c r="B60" s="194">
        <v>5</v>
      </c>
      <c r="C60" s="195" t="s">
        <v>166</v>
      </c>
      <c r="D60" s="196">
        <v>186420.78</v>
      </c>
      <c r="J60" s="198">
        <f t="shared" si="10"/>
        <v>2025.05</v>
      </c>
      <c r="K60" s="194">
        <f t="shared" si="52"/>
        <v>2025</v>
      </c>
      <c r="L60" s="194">
        <v>5</v>
      </c>
      <c r="M60" s="195" t="s">
        <v>166</v>
      </c>
      <c r="N60" s="203">
        <f t="shared" si="48"/>
        <v>186420.78</v>
      </c>
      <c r="O60" s="203">
        <f t="shared" si="53"/>
        <v>124280.56</v>
      </c>
      <c r="P60" s="203">
        <f t="shared" si="54"/>
        <v>62140.22</v>
      </c>
      <c r="Q60" s="203">
        <f t="shared" si="55"/>
        <v>15535.07</v>
      </c>
      <c r="R60" s="194">
        <f t="shared" si="49"/>
        <v>2026</v>
      </c>
      <c r="S60" s="194">
        <f t="shared" si="50"/>
        <v>4</v>
      </c>
      <c r="T60" s="174">
        <f t="shared" si="56"/>
        <v>0</v>
      </c>
      <c r="U60" s="174">
        <f t="shared" si="56"/>
        <v>0</v>
      </c>
      <c r="V60" s="174">
        <f t="shared" si="56"/>
        <v>0</v>
      </c>
      <c r="W60" s="174">
        <f t="shared" si="56"/>
        <v>0</v>
      </c>
      <c r="X60" s="174">
        <f t="shared" si="56"/>
        <v>15535.07</v>
      </c>
      <c r="Y60" s="174">
        <f t="shared" si="56"/>
        <v>15535.07</v>
      </c>
      <c r="Z60" s="174">
        <f t="shared" si="56"/>
        <v>15535.07</v>
      </c>
      <c r="AA60" s="174">
        <f t="shared" si="56"/>
        <v>15535.07</v>
      </c>
      <c r="AB60" s="174">
        <f t="shared" si="56"/>
        <v>15535.07</v>
      </c>
      <c r="AC60" s="174">
        <f t="shared" si="56"/>
        <v>15535.07</v>
      </c>
      <c r="AD60" s="174">
        <f t="shared" si="56"/>
        <v>15535.07</v>
      </c>
      <c r="AE60" s="174">
        <f t="shared" si="56"/>
        <v>15535.07</v>
      </c>
      <c r="AF60" s="174">
        <f t="shared" si="47"/>
        <v>124280.56000000003</v>
      </c>
    </row>
    <row r="61" spans="1:35" outlineLevel="1" x14ac:dyDescent="0.35">
      <c r="A61" s="194">
        <f t="shared" si="51"/>
        <v>2025</v>
      </c>
      <c r="B61" s="194">
        <v>6</v>
      </c>
      <c r="C61" s="195" t="s">
        <v>304</v>
      </c>
      <c r="D61" s="196">
        <v>268784.05000000005</v>
      </c>
      <c r="J61" s="198">
        <f t="shared" si="10"/>
        <v>2025.06</v>
      </c>
      <c r="K61" s="194">
        <f t="shared" si="52"/>
        <v>2025</v>
      </c>
      <c r="L61" s="194">
        <v>6</v>
      </c>
      <c r="M61" s="195" t="s">
        <v>304</v>
      </c>
      <c r="N61" s="203">
        <f t="shared" si="48"/>
        <v>268784.05000000005</v>
      </c>
      <c r="O61" s="203">
        <f t="shared" si="53"/>
        <v>156790.69</v>
      </c>
      <c r="P61" s="203">
        <f t="shared" si="54"/>
        <v>111993.36000000004</v>
      </c>
      <c r="Q61" s="203">
        <f t="shared" si="55"/>
        <v>22398.67</v>
      </c>
      <c r="R61" s="194">
        <f t="shared" si="49"/>
        <v>2026</v>
      </c>
      <c r="S61" s="194">
        <f t="shared" si="50"/>
        <v>5</v>
      </c>
      <c r="T61" s="174">
        <f t="shared" si="56"/>
        <v>0</v>
      </c>
      <c r="U61" s="174">
        <f t="shared" si="56"/>
        <v>0</v>
      </c>
      <c r="V61" s="174">
        <f t="shared" si="56"/>
        <v>0</v>
      </c>
      <c r="W61" s="174">
        <f t="shared" si="56"/>
        <v>0</v>
      </c>
      <c r="X61" s="174">
        <f t="shared" si="56"/>
        <v>0</v>
      </c>
      <c r="Y61" s="174">
        <f t="shared" si="56"/>
        <v>22398.67</v>
      </c>
      <c r="Z61" s="174">
        <f t="shared" si="56"/>
        <v>22398.67</v>
      </c>
      <c r="AA61" s="174">
        <f t="shared" si="56"/>
        <v>22398.67</v>
      </c>
      <c r="AB61" s="174">
        <f t="shared" si="56"/>
        <v>22398.67</v>
      </c>
      <c r="AC61" s="174">
        <f t="shared" si="56"/>
        <v>22398.67</v>
      </c>
      <c r="AD61" s="174">
        <f t="shared" si="56"/>
        <v>22398.67</v>
      </c>
      <c r="AE61" s="174">
        <f t="shared" si="56"/>
        <v>22398.67</v>
      </c>
      <c r="AF61" s="174">
        <f t="shared" si="47"/>
        <v>156790.69</v>
      </c>
    </row>
    <row r="62" spans="1:35" outlineLevel="1" x14ac:dyDescent="0.35">
      <c r="A62" s="194">
        <f t="shared" si="51"/>
        <v>2025</v>
      </c>
      <c r="B62" s="194">
        <v>7</v>
      </c>
      <c r="C62" s="195" t="s">
        <v>343</v>
      </c>
      <c r="D62" s="196">
        <v>102962.92</v>
      </c>
      <c r="J62" s="198">
        <f t="shared" si="10"/>
        <v>2025.07</v>
      </c>
      <c r="K62" s="194">
        <f t="shared" si="52"/>
        <v>2025</v>
      </c>
      <c r="L62" s="194">
        <v>7</v>
      </c>
      <c r="M62" s="195" t="s">
        <v>343</v>
      </c>
      <c r="N62" s="203">
        <f t="shared" si="48"/>
        <v>102962.92</v>
      </c>
      <c r="O62" s="203">
        <f t="shared" si="53"/>
        <v>51481.440000000002</v>
      </c>
      <c r="P62" s="203">
        <f t="shared" si="54"/>
        <v>51481.479999999996</v>
      </c>
      <c r="Q62" s="203">
        <f t="shared" si="55"/>
        <v>8580.24</v>
      </c>
      <c r="R62" s="194">
        <f t="shared" si="49"/>
        <v>2026</v>
      </c>
      <c r="S62" s="194">
        <f t="shared" si="50"/>
        <v>6</v>
      </c>
      <c r="T62" s="174">
        <f t="shared" si="56"/>
        <v>0</v>
      </c>
      <c r="U62" s="174">
        <f t="shared" si="56"/>
        <v>0</v>
      </c>
      <c r="V62" s="174">
        <f t="shared" si="56"/>
        <v>0</v>
      </c>
      <c r="W62" s="174">
        <f t="shared" si="56"/>
        <v>0</v>
      </c>
      <c r="X62" s="174">
        <f t="shared" si="56"/>
        <v>0</v>
      </c>
      <c r="Y62" s="174">
        <f t="shared" si="56"/>
        <v>0</v>
      </c>
      <c r="Z62" s="174">
        <f t="shared" si="56"/>
        <v>8580.24</v>
      </c>
      <c r="AA62" s="174">
        <f t="shared" si="56"/>
        <v>8580.24</v>
      </c>
      <c r="AB62" s="174">
        <f t="shared" si="56"/>
        <v>8580.24</v>
      </c>
      <c r="AC62" s="174">
        <f t="shared" si="56"/>
        <v>8580.24</v>
      </c>
      <c r="AD62" s="174">
        <f t="shared" si="56"/>
        <v>8580.24</v>
      </c>
      <c r="AE62" s="174">
        <f t="shared" si="56"/>
        <v>8580.24</v>
      </c>
      <c r="AF62" s="174">
        <f t="shared" si="47"/>
        <v>51481.439999999995</v>
      </c>
    </row>
    <row r="63" spans="1:35" outlineLevel="1" x14ac:dyDescent="0.35">
      <c r="A63" s="194">
        <f t="shared" si="51"/>
        <v>2025</v>
      </c>
      <c r="B63" s="194">
        <v>8</v>
      </c>
      <c r="C63" s="195" t="s">
        <v>526</v>
      </c>
      <c r="D63" s="196">
        <v>175556.87</v>
      </c>
      <c r="J63" s="198">
        <f t="shared" si="10"/>
        <v>2025.08</v>
      </c>
      <c r="K63" s="194">
        <f t="shared" si="52"/>
        <v>2025</v>
      </c>
      <c r="L63" s="194">
        <v>8</v>
      </c>
      <c r="M63" s="195" t="s">
        <v>526</v>
      </c>
      <c r="N63" s="203">
        <f t="shared" si="48"/>
        <v>175556.87</v>
      </c>
      <c r="O63" s="203">
        <f t="shared" si="53"/>
        <v>73148.7</v>
      </c>
      <c r="P63" s="203">
        <f t="shared" si="54"/>
        <v>102408.17</v>
      </c>
      <c r="Q63" s="203">
        <f t="shared" si="55"/>
        <v>14629.74</v>
      </c>
      <c r="R63" s="194">
        <f t="shared" si="49"/>
        <v>2026</v>
      </c>
      <c r="S63" s="194">
        <f t="shared" si="50"/>
        <v>7</v>
      </c>
      <c r="T63" s="174">
        <f t="shared" si="56"/>
        <v>0</v>
      </c>
      <c r="U63" s="174">
        <f t="shared" si="56"/>
        <v>0</v>
      </c>
      <c r="V63" s="174">
        <f t="shared" si="56"/>
        <v>0</v>
      </c>
      <c r="W63" s="174">
        <f t="shared" si="56"/>
        <v>0</v>
      </c>
      <c r="X63" s="174">
        <f t="shared" si="56"/>
        <v>0</v>
      </c>
      <c r="Y63" s="174">
        <f t="shared" si="56"/>
        <v>0</v>
      </c>
      <c r="Z63" s="174">
        <f t="shared" si="56"/>
        <v>0</v>
      </c>
      <c r="AA63" s="174">
        <f t="shared" si="56"/>
        <v>14629.74</v>
      </c>
      <c r="AB63" s="174">
        <f t="shared" si="56"/>
        <v>14629.74</v>
      </c>
      <c r="AC63" s="174">
        <f t="shared" si="56"/>
        <v>14629.74</v>
      </c>
      <c r="AD63" s="174">
        <f t="shared" si="56"/>
        <v>14629.74</v>
      </c>
      <c r="AE63" s="174">
        <f t="shared" si="56"/>
        <v>14629.74</v>
      </c>
      <c r="AF63" s="174">
        <f t="shared" si="47"/>
        <v>73148.7</v>
      </c>
    </row>
    <row r="64" spans="1:35" outlineLevel="1" x14ac:dyDescent="0.35">
      <c r="A64" s="194">
        <f t="shared" si="51"/>
        <v>2025</v>
      </c>
      <c r="B64" s="194">
        <v>9</v>
      </c>
      <c r="C64" s="195" t="s">
        <v>527</v>
      </c>
      <c r="D64" s="196">
        <v>93469.58</v>
      </c>
      <c r="J64" s="198">
        <f t="shared" si="10"/>
        <v>2025.09</v>
      </c>
      <c r="K64" s="194">
        <f t="shared" si="52"/>
        <v>2025</v>
      </c>
      <c r="L64" s="194">
        <v>9</v>
      </c>
      <c r="M64" s="195" t="s">
        <v>527</v>
      </c>
      <c r="N64" s="203">
        <f t="shared" si="48"/>
        <v>93469.58</v>
      </c>
      <c r="O64" s="203">
        <f t="shared" si="53"/>
        <v>31156.52</v>
      </c>
      <c r="P64" s="203">
        <f t="shared" si="54"/>
        <v>62313.06</v>
      </c>
      <c r="Q64" s="203">
        <f t="shared" si="55"/>
        <v>7789.13</v>
      </c>
      <c r="R64" s="194">
        <f t="shared" si="49"/>
        <v>2026</v>
      </c>
      <c r="S64" s="194">
        <f t="shared" si="50"/>
        <v>8</v>
      </c>
      <c r="T64" s="174">
        <f t="shared" si="56"/>
        <v>0</v>
      </c>
      <c r="U64" s="174">
        <f t="shared" si="56"/>
        <v>0</v>
      </c>
      <c r="V64" s="174">
        <f t="shared" si="56"/>
        <v>0</v>
      </c>
      <c r="W64" s="174">
        <f t="shared" si="56"/>
        <v>0</v>
      </c>
      <c r="X64" s="174">
        <f t="shared" si="56"/>
        <v>0</v>
      </c>
      <c r="Y64" s="174">
        <f t="shared" si="56"/>
        <v>0</v>
      </c>
      <c r="Z64" s="174">
        <f t="shared" si="56"/>
        <v>0</v>
      </c>
      <c r="AA64" s="174">
        <f t="shared" si="56"/>
        <v>0</v>
      </c>
      <c r="AB64" s="174">
        <f t="shared" si="56"/>
        <v>7789.13</v>
      </c>
      <c r="AC64" s="174">
        <f t="shared" si="56"/>
        <v>7789.13</v>
      </c>
      <c r="AD64" s="174">
        <f t="shared" si="56"/>
        <v>7789.13</v>
      </c>
      <c r="AE64" s="174">
        <f t="shared" si="56"/>
        <v>7789.13</v>
      </c>
      <c r="AF64" s="174">
        <f t="shared" si="47"/>
        <v>31156.52</v>
      </c>
    </row>
    <row r="65" spans="1:36" outlineLevel="1" x14ac:dyDescent="0.35">
      <c r="A65" s="194">
        <f t="shared" si="51"/>
        <v>2025</v>
      </c>
      <c r="B65" s="204">
        <v>10</v>
      </c>
      <c r="C65" s="205" t="s">
        <v>528</v>
      </c>
      <c r="D65" s="196">
        <v>0</v>
      </c>
      <c r="J65" s="198">
        <f t="shared" si="10"/>
        <v>2025.1</v>
      </c>
      <c r="K65" s="194">
        <f t="shared" si="52"/>
        <v>2025</v>
      </c>
      <c r="L65" s="204">
        <v>10</v>
      </c>
      <c r="M65" s="205" t="s">
        <v>528</v>
      </c>
      <c r="N65" s="203">
        <f t="shared" si="48"/>
        <v>0</v>
      </c>
      <c r="O65" s="203">
        <f t="shared" si="53"/>
        <v>0</v>
      </c>
      <c r="P65" s="203">
        <f t="shared" si="54"/>
        <v>0</v>
      </c>
      <c r="Q65" s="203">
        <f t="shared" si="55"/>
        <v>0</v>
      </c>
      <c r="R65" s="194">
        <f t="shared" si="49"/>
        <v>2026</v>
      </c>
      <c r="S65" s="194">
        <f t="shared" si="50"/>
        <v>9</v>
      </c>
      <c r="T65" s="174">
        <f t="shared" si="56"/>
        <v>0</v>
      </c>
      <c r="U65" s="174">
        <f t="shared" si="56"/>
        <v>0</v>
      </c>
      <c r="V65" s="174">
        <f t="shared" si="56"/>
        <v>0</v>
      </c>
      <c r="W65" s="174">
        <f t="shared" si="56"/>
        <v>0</v>
      </c>
      <c r="X65" s="174">
        <f t="shared" si="56"/>
        <v>0</v>
      </c>
      <c r="Y65" s="174">
        <f t="shared" si="56"/>
        <v>0</v>
      </c>
      <c r="Z65" s="174">
        <f t="shared" si="56"/>
        <v>0</v>
      </c>
      <c r="AA65" s="174">
        <f t="shared" si="56"/>
        <v>0</v>
      </c>
      <c r="AB65" s="174">
        <f t="shared" si="56"/>
        <v>0</v>
      </c>
      <c r="AC65" s="174">
        <f t="shared" si="56"/>
        <v>0</v>
      </c>
      <c r="AD65" s="174">
        <f t="shared" si="56"/>
        <v>0</v>
      </c>
      <c r="AE65" s="174">
        <f t="shared" si="56"/>
        <v>0</v>
      </c>
      <c r="AF65" s="174">
        <f t="shared" si="47"/>
        <v>0</v>
      </c>
    </row>
    <row r="66" spans="1:36" outlineLevel="1" x14ac:dyDescent="0.35">
      <c r="A66" s="194">
        <f t="shared" si="51"/>
        <v>2025</v>
      </c>
      <c r="B66" s="204">
        <v>11</v>
      </c>
      <c r="C66" s="205" t="s">
        <v>529</v>
      </c>
      <c r="D66" s="196">
        <v>2464.21</v>
      </c>
      <c r="J66" s="198">
        <f t="shared" si="10"/>
        <v>2025.11</v>
      </c>
      <c r="K66" s="194">
        <f t="shared" si="52"/>
        <v>2025</v>
      </c>
      <c r="L66" s="204">
        <v>11</v>
      </c>
      <c r="M66" s="205" t="s">
        <v>529</v>
      </c>
      <c r="N66" s="203">
        <f t="shared" si="48"/>
        <v>2464.21</v>
      </c>
      <c r="O66" s="203">
        <f t="shared" si="53"/>
        <v>410.7</v>
      </c>
      <c r="P66" s="203">
        <f t="shared" si="54"/>
        <v>2053.5100000000002</v>
      </c>
      <c r="Q66" s="203">
        <f t="shared" si="55"/>
        <v>205.35</v>
      </c>
      <c r="R66" s="194">
        <f t="shared" si="49"/>
        <v>2026</v>
      </c>
      <c r="S66" s="194">
        <f t="shared" si="50"/>
        <v>10</v>
      </c>
      <c r="T66" s="174">
        <f t="shared" si="56"/>
        <v>0</v>
      </c>
      <c r="U66" s="174">
        <f t="shared" si="56"/>
        <v>0</v>
      </c>
      <c r="V66" s="174">
        <f t="shared" si="56"/>
        <v>0</v>
      </c>
      <c r="W66" s="174">
        <f t="shared" si="56"/>
        <v>0</v>
      </c>
      <c r="X66" s="174">
        <f t="shared" si="56"/>
        <v>0</v>
      </c>
      <c r="Y66" s="174">
        <f t="shared" si="56"/>
        <v>0</v>
      </c>
      <c r="Z66" s="174">
        <f t="shared" si="56"/>
        <v>0</v>
      </c>
      <c r="AA66" s="174">
        <f t="shared" si="56"/>
        <v>0</v>
      </c>
      <c r="AB66" s="174">
        <f t="shared" si="56"/>
        <v>0</v>
      </c>
      <c r="AC66" s="174">
        <f t="shared" si="56"/>
        <v>0</v>
      </c>
      <c r="AD66" s="174">
        <f t="shared" si="56"/>
        <v>205.35</v>
      </c>
      <c r="AE66" s="174">
        <f t="shared" si="56"/>
        <v>205.35</v>
      </c>
      <c r="AF66" s="174">
        <f t="shared" si="47"/>
        <v>410.7</v>
      </c>
    </row>
    <row r="67" spans="1:36" outlineLevel="1" x14ac:dyDescent="0.35">
      <c r="A67" s="194">
        <f t="shared" si="51"/>
        <v>2025</v>
      </c>
      <c r="B67" s="204">
        <v>12</v>
      </c>
      <c r="C67" s="205" t="s">
        <v>523</v>
      </c>
      <c r="D67" s="196"/>
      <c r="J67" s="198">
        <f t="shared" si="10"/>
        <v>2025.12</v>
      </c>
      <c r="K67" s="194">
        <f t="shared" si="52"/>
        <v>2025</v>
      </c>
      <c r="L67" s="204">
        <v>12</v>
      </c>
      <c r="M67" s="205" t="s">
        <v>523</v>
      </c>
      <c r="N67" s="203">
        <f t="shared" si="48"/>
        <v>0</v>
      </c>
      <c r="O67" s="203">
        <f t="shared" si="53"/>
        <v>0</v>
      </c>
      <c r="P67" s="203">
        <f t="shared" si="54"/>
        <v>0</v>
      </c>
      <c r="Q67" s="203">
        <f t="shared" si="55"/>
        <v>0</v>
      </c>
      <c r="R67" s="194">
        <f t="shared" si="49"/>
        <v>2026</v>
      </c>
      <c r="S67" s="194">
        <f t="shared" si="50"/>
        <v>11</v>
      </c>
      <c r="T67" s="174">
        <f t="shared" si="56"/>
        <v>0</v>
      </c>
      <c r="U67" s="174">
        <f t="shared" si="56"/>
        <v>0</v>
      </c>
      <c r="V67" s="174">
        <f t="shared" si="56"/>
        <v>0</v>
      </c>
      <c r="W67" s="174">
        <f t="shared" si="56"/>
        <v>0</v>
      </c>
      <c r="X67" s="174">
        <f t="shared" si="56"/>
        <v>0</v>
      </c>
      <c r="Y67" s="174">
        <f t="shared" si="56"/>
        <v>0</v>
      </c>
      <c r="Z67" s="174">
        <f t="shared" si="56"/>
        <v>0</v>
      </c>
      <c r="AA67" s="174">
        <f t="shared" si="56"/>
        <v>0</v>
      </c>
      <c r="AB67" s="174">
        <f t="shared" si="56"/>
        <v>0</v>
      </c>
      <c r="AC67" s="174">
        <f t="shared" si="56"/>
        <v>0</v>
      </c>
      <c r="AD67" s="174">
        <f t="shared" si="56"/>
        <v>0</v>
      </c>
      <c r="AE67" s="174">
        <f t="shared" si="56"/>
        <v>0</v>
      </c>
      <c r="AF67" s="174">
        <f t="shared" si="47"/>
        <v>0</v>
      </c>
    </row>
    <row r="68" spans="1:36" x14ac:dyDescent="0.35">
      <c r="A68" s="208">
        <f>+A67</f>
        <v>2025</v>
      </c>
      <c r="B68" s="208"/>
      <c r="C68" s="209" t="s">
        <v>116</v>
      </c>
      <c r="D68" s="210">
        <f>SUM(D56:D67)</f>
        <v>2321524.83</v>
      </c>
      <c r="J68" s="211"/>
      <c r="K68" s="208">
        <f>+K67</f>
        <v>2025</v>
      </c>
      <c r="L68" s="208"/>
      <c r="M68" s="209" t="s">
        <v>116</v>
      </c>
      <c r="N68" s="210">
        <f>SUM(N56:N67)</f>
        <v>2321524.83</v>
      </c>
      <c r="O68" s="210">
        <f>SUM(O56:O67)</f>
        <v>1789903.9</v>
      </c>
      <c r="P68" s="210">
        <f>SUM(P56:P67)</f>
        <v>531620.92999999993</v>
      </c>
      <c r="Q68" s="210">
        <f>SUM(Q56:Q67)</f>
        <v>193460.4</v>
      </c>
      <c r="R68" s="210"/>
      <c r="S68" s="210"/>
      <c r="T68" s="210">
        <f t="shared" ref="T68:AF68" si="57">SUM(T56:T67)</f>
        <v>43463.41</v>
      </c>
      <c r="U68" s="210">
        <f t="shared" si="57"/>
        <v>80925.700000000012</v>
      </c>
      <c r="V68" s="210">
        <f t="shared" si="57"/>
        <v>109346.40000000001</v>
      </c>
      <c r="W68" s="210">
        <f t="shared" si="57"/>
        <v>124322.20000000001</v>
      </c>
      <c r="X68" s="210">
        <f t="shared" si="57"/>
        <v>139857.27000000002</v>
      </c>
      <c r="Y68" s="210">
        <f t="shared" si="57"/>
        <v>162255.94</v>
      </c>
      <c r="Z68" s="210">
        <f t="shared" si="57"/>
        <v>170836.18</v>
      </c>
      <c r="AA68" s="210">
        <f t="shared" si="57"/>
        <v>185465.91999999998</v>
      </c>
      <c r="AB68" s="210">
        <f t="shared" si="57"/>
        <v>193255.05</v>
      </c>
      <c r="AC68" s="210">
        <f t="shared" si="57"/>
        <v>193255.05</v>
      </c>
      <c r="AD68" s="210">
        <f t="shared" si="57"/>
        <v>193460.4</v>
      </c>
      <c r="AE68" s="210">
        <f t="shared" si="57"/>
        <v>193460.37999999998</v>
      </c>
      <c r="AF68" s="210">
        <f t="shared" si="57"/>
        <v>1789903.9</v>
      </c>
      <c r="AG68" s="13"/>
      <c r="AI68" s="13">
        <f>+AG68</f>
        <v>0</v>
      </c>
    </row>
    <row r="69" spans="1:36" ht="29" x14ac:dyDescent="0.35">
      <c r="A69"/>
      <c r="B69"/>
      <c r="J69" s="216"/>
      <c r="K69" s="216"/>
      <c r="L69" s="217"/>
      <c r="M69" s="218" t="str">
        <f>"7/2021 - "&amp;H2&amp;"/"&amp;H3</f>
        <v>7/2021 - 12/2025</v>
      </c>
      <c r="N69" s="210">
        <f>+N16+N29+N42+N55+N68</f>
        <v>11471744.039999999</v>
      </c>
      <c r="O69" s="210">
        <f>+O16+O29+O42+O55+O68</f>
        <v>10940123.109999999</v>
      </c>
      <c r="P69" s="210">
        <f>+P16+P29+P42+P55+P68</f>
        <v>531620.92999999993</v>
      </c>
      <c r="Q69" s="210">
        <f>+Q16+Q29+Q42+Q55+Q68</f>
        <v>955978.69000000006</v>
      </c>
      <c r="R69" s="210"/>
      <c r="S69" s="210"/>
      <c r="T69" s="210">
        <f t="shared" ref="T69:AF69" si="58">+T16+T29+T42+T55+T68</f>
        <v>529227.66</v>
      </c>
      <c r="U69" s="210">
        <f t="shared" si="58"/>
        <v>532326.53</v>
      </c>
      <c r="V69" s="210">
        <f t="shared" si="58"/>
        <v>539155.61999999988</v>
      </c>
      <c r="W69" s="219">
        <f>+W16+W29+W42+W55+W68</f>
        <v>532307.01</v>
      </c>
      <c r="X69" s="210">
        <f t="shared" si="58"/>
        <v>515402.24999999994</v>
      </c>
      <c r="Y69" s="210">
        <f t="shared" si="58"/>
        <v>490624.73999999993</v>
      </c>
      <c r="Z69" s="210">
        <f t="shared" si="58"/>
        <v>452627.22</v>
      </c>
      <c r="AA69" s="210">
        <f t="shared" si="58"/>
        <v>401639.65999999992</v>
      </c>
      <c r="AB69" s="210">
        <f t="shared" si="58"/>
        <v>353123.72</v>
      </c>
      <c r="AC69" s="210">
        <f t="shared" si="58"/>
        <v>302547.28999999992</v>
      </c>
      <c r="AD69" s="210">
        <f t="shared" si="58"/>
        <v>234958.14000000013</v>
      </c>
      <c r="AE69" s="210">
        <f t="shared" si="58"/>
        <v>193460.37999999998</v>
      </c>
      <c r="AF69" s="210">
        <f t="shared" si="58"/>
        <v>5077400.2200000007</v>
      </c>
      <c r="AG69" s="13"/>
      <c r="AI69" s="13">
        <f>+AF55-AE69+O55+O42+O29+O16</f>
        <v>12244255.15</v>
      </c>
    </row>
    <row r="70" spans="1:36" x14ac:dyDescent="0.35">
      <c r="A70"/>
      <c r="B70"/>
      <c r="J70" s="220"/>
      <c r="K70" s="220"/>
      <c r="L70" s="220"/>
      <c r="O70" s="13"/>
      <c r="AD70" s="13"/>
      <c r="AF70" s="13"/>
      <c r="AG70" s="13"/>
      <c r="AI70" s="13">
        <f>+AI55-AI69</f>
        <v>-3094035.9400000013</v>
      </c>
    </row>
    <row r="71" spans="1:36" x14ac:dyDescent="0.35">
      <c r="A71"/>
      <c r="B71"/>
      <c r="N71" s="13"/>
      <c r="T71" s="13">
        <v>529227.66</v>
      </c>
      <c r="U71" s="13">
        <v>532326.53</v>
      </c>
      <c r="V71" s="13">
        <v>539155.61999999988</v>
      </c>
      <c r="W71" s="13">
        <v>532307.01</v>
      </c>
      <c r="X71" s="13">
        <v>515402.24999999994</v>
      </c>
      <c r="Y71" s="13">
        <v>490624.73999999993</v>
      </c>
      <c r="Z71" s="13">
        <v>452627.22</v>
      </c>
      <c r="AA71" s="13">
        <v>401639.65999999992</v>
      </c>
      <c r="AB71" s="13">
        <v>353123.72</v>
      </c>
      <c r="AC71" s="13">
        <v>302547.28999999992</v>
      </c>
      <c r="AD71" s="13">
        <v>234958.14000000013</v>
      </c>
      <c r="AE71" s="13">
        <v>193460.38</v>
      </c>
      <c r="AF71" s="13"/>
      <c r="AG71" s="13"/>
    </row>
    <row r="72" spans="1:36" x14ac:dyDescent="0.35">
      <c r="T72" s="13">
        <f>T69-T71</f>
        <v>0</v>
      </c>
      <c r="U72" s="13">
        <f t="shared" ref="U72:Y72" si="59">U69-U71</f>
        <v>0</v>
      </c>
      <c r="V72" s="13">
        <f t="shared" si="59"/>
        <v>0</v>
      </c>
      <c r="W72" s="13">
        <f t="shared" si="59"/>
        <v>0</v>
      </c>
      <c r="X72" s="13">
        <f t="shared" si="59"/>
        <v>0</v>
      </c>
      <c r="Y72" s="13">
        <f t="shared" si="59"/>
        <v>0</v>
      </c>
      <c r="Z72" s="13">
        <f t="shared" ref="Z72" si="60">Z69-Z71</f>
        <v>0</v>
      </c>
      <c r="AA72" s="13">
        <f t="shared" ref="AA72" si="61">AA69-AA71</f>
        <v>0</v>
      </c>
      <c r="AB72" s="13">
        <f t="shared" ref="AB72" si="62">AB69-AB71</f>
        <v>0</v>
      </c>
      <c r="AC72" s="13">
        <f t="shared" ref="AC72" si="63">AC69-AC71</f>
        <v>0</v>
      </c>
      <c r="AD72" s="13">
        <f t="shared" ref="AD72" si="64">AD69-AD71</f>
        <v>0</v>
      </c>
      <c r="AE72" s="13">
        <f t="shared" ref="AE72" si="65">AE69-AE71</f>
        <v>0</v>
      </c>
      <c r="AF72" s="13"/>
      <c r="AG72" s="13"/>
    </row>
    <row r="73" spans="1:36" x14ac:dyDescent="0.35">
      <c r="T73" s="5">
        <v>46023</v>
      </c>
      <c r="U73" s="5">
        <v>46054</v>
      </c>
      <c r="V73" s="5">
        <v>46082</v>
      </c>
      <c r="W73" s="5">
        <v>46113</v>
      </c>
      <c r="X73" s="5">
        <v>46143</v>
      </c>
      <c r="Y73" s="5">
        <v>46174</v>
      </c>
      <c r="Z73" s="5">
        <v>46204</v>
      </c>
      <c r="AA73" s="5">
        <v>46235</v>
      </c>
      <c r="AB73" s="5">
        <v>46266</v>
      </c>
      <c r="AC73" s="5">
        <v>46296</v>
      </c>
      <c r="AD73" s="5">
        <v>46327</v>
      </c>
      <c r="AE73" s="5">
        <v>46357</v>
      </c>
    </row>
    <row r="74" spans="1:36" x14ac:dyDescent="0.35">
      <c r="M74" s="195" t="s">
        <v>524</v>
      </c>
      <c r="Q74" s="14"/>
      <c r="T74" s="310">
        <f>U57</f>
        <v>37462.29</v>
      </c>
      <c r="AF74" s="14">
        <f>SUM(T74:AE74)</f>
        <v>37462.29</v>
      </c>
      <c r="AG74" s="14">
        <f>AF74+AF57</f>
        <v>449547.47999999992</v>
      </c>
      <c r="AI74" s="14">
        <f>N57</f>
        <v>449547.51999999996</v>
      </c>
      <c r="AJ74" s="14">
        <f>AG74-AI74</f>
        <v>-4.0000000037252903E-2</v>
      </c>
    </row>
    <row r="75" spans="1:36" x14ac:dyDescent="0.35">
      <c r="M75" s="195" t="s">
        <v>525</v>
      </c>
      <c r="T75" s="310">
        <f>V58</f>
        <v>28420.7</v>
      </c>
      <c r="U75" s="310">
        <f>V58</f>
        <v>28420.7</v>
      </c>
      <c r="AF75" s="14">
        <f t="shared" ref="AF75:AF85" si="66">SUM(T75:AE75)</f>
        <v>56841.4</v>
      </c>
      <c r="AG75" s="14">
        <f t="shared" ref="AG75:AG84" si="67">AF75+AF58</f>
        <v>341048.40000000008</v>
      </c>
      <c r="AI75" s="14">
        <f t="shared" ref="AI75:AI84" si="68">N58</f>
        <v>341048.44</v>
      </c>
      <c r="AJ75" s="14">
        <f t="shared" ref="AJ75:AJ83" si="69">AG75-AI75</f>
        <v>-3.9999999920837581E-2</v>
      </c>
    </row>
    <row r="76" spans="1:36" x14ac:dyDescent="0.35">
      <c r="M76" s="195" t="s">
        <v>302</v>
      </c>
      <c r="T76" s="14">
        <f>W59</f>
        <v>14975.8</v>
      </c>
      <c r="U76" s="14">
        <f>T76</f>
        <v>14975.8</v>
      </c>
      <c r="V76" s="14">
        <f>U76</f>
        <v>14975.8</v>
      </c>
      <c r="AF76" s="14">
        <f t="shared" si="66"/>
        <v>44927.399999999994</v>
      </c>
      <c r="AG76" s="14">
        <f t="shared" si="67"/>
        <v>179709.6</v>
      </c>
      <c r="AI76" s="14">
        <f t="shared" si="68"/>
        <v>179709.56</v>
      </c>
      <c r="AJ76" s="14">
        <f t="shared" si="69"/>
        <v>4.0000000008149073E-2</v>
      </c>
    </row>
    <row r="77" spans="1:36" x14ac:dyDescent="0.35">
      <c r="M77" s="195" t="s">
        <v>303</v>
      </c>
      <c r="O77" s="14"/>
      <c r="T77" s="14">
        <f>X60</f>
        <v>15535.07</v>
      </c>
      <c r="U77" s="14">
        <f>T77</f>
        <v>15535.07</v>
      </c>
      <c r="V77" s="14">
        <f t="shared" ref="V77:W77" si="70">U77</f>
        <v>15535.07</v>
      </c>
      <c r="W77" s="14">
        <f t="shared" si="70"/>
        <v>15535.07</v>
      </c>
      <c r="AF77" s="14">
        <f t="shared" si="66"/>
        <v>62140.28</v>
      </c>
      <c r="AG77" s="14">
        <f t="shared" si="67"/>
        <v>186420.84000000003</v>
      </c>
      <c r="AI77" s="14">
        <f t="shared" si="68"/>
        <v>186420.78</v>
      </c>
      <c r="AJ77" s="14">
        <f t="shared" si="69"/>
        <v>6.0000000026775524E-2</v>
      </c>
    </row>
    <row r="78" spans="1:36" x14ac:dyDescent="0.35">
      <c r="M78" s="195" t="s">
        <v>166</v>
      </c>
      <c r="T78" s="14">
        <f>Y61</f>
        <v>22398.67</v>
      </c>
      <c r="U78" s="14">
        <f>T78</f>
        <v>22398.67</v>
      </c>
      <c r="V78" s="14">
        <f t="shared" ref="V78:X78" si="71">U78</f>
        <v>22398.67</v>
      </c>
      <c r="W78" s="14">
        <f t="shared" si="71"/>
        <v>22398.67</v>
      </c>
      <c r="X78" s="14">
        <f t="shared" si="71"/>
        <v>22398.67</v>
      </c>
      <c r="AF78" s="14">
        <f t="shared" si="66"/>
        <v>111993.34999999999</v>
      </c>
      <c r="AG78" s="14">
        <f t="shared" si="67"/>
        <v>268784.03999999998</v>
      </c>
      <c r="AI78" s="14">
        <f t="shared" si="68"/>
        <v>268784.05000000005</v>
      </c>
      <c r="AJ78" s="14">
        <f t="shared" si="69"/>
        <v>-1.0000000067520887E-2</v>
      </c>
    </row>
    <row r="79" spans="1:36" x14ac:dyDescent="0.35">
      <c r="M79" s="195" t="s">
        <v>304</v>
      </c>
      <c r="T79" s="14">
        <f>Z62</f>
        <v>8580.24</v>
      </c>
      <c r="U79" s="14">
        <f t="shared" ref="U79:AC85" si="72">T79</f>
        <v>8580.24</v>
      </c>
      <c r="V79" s="14">
        <f t="shared" si="72"/>
        <v>8580.24</v>
      </c>
      <c r="W79" s="14">
        <f t="shared" si="72"/>
        <v>8580.24</v>
      </c>
      <c r="X79" s="14">
        <f t="shared" si="72"/>
        <v>8580.24</v>
      </c>
      <c r="Y79" s="14">
        <f t="shared" si="72"/>
        <v>8580.24</v>
      </c>
      <c r="AF79" s="14">
        <f t="shared" si="66"/>
        <v>51481.439999999995</v>
      </c>
      <c r="AG79" s="14">
        <f t="shared" si="67"/>
        <v>102962.87999999999</v>
      </c>
      <c r="AI79" s="14">
        <f t="shared" si="68"/>
        <v>102962.92</v>
      </c>
      <c r="AJ79" s="14">
        <f t="shared" si="69"/>
        <v>-4.0000000008149073E-2</v>
      </c>
    </row>
    <row r="80" spans="1:36" x14ac:dyDescent="0.35">
      <c r="M80" s="195" t="s">
        <v>343</v>
      </c>
      <c r="T80" s="14">
        <f>AA63</f>
        <v>14629.74</v>
      </c>
      <c r="U80" s="14">
        <f t="shared" si="72"/>
        <v>14629.74</v>
      </c>
      <c r="V80" s="14">
        <f t="shared" si="72"/>
        <v>14629.74</v>
      </c>
      <c r="W80" s="14">
        <f t="shared" si="72"/>
        <v>14629.74</v>
      </c>
      <c r="X80" s="14">
        <f t="shared" si="72"/>
        <v>14629.74</v>
      </c>
      <c r="Y80" s="14">
        <f t="shared" si="72"/>
        <v>14629.74</v>
      </c>
      <c r="Z80" s="14">
        <f t="shared" si="72"/>
        <v>14629.74</v>
      </c>
      <c r="AF80" s="14">
        <f t="shared" si="66"/>
        <v>102408.18000000001</v>
      </c>
      <c r="AG80" s="14">
        <f t="shared" si="67"/>
        <v>175556.88</v>
      </c>
      <c r="AI80" s="14">
        <f t="shared" si="68"/>
        <v>175556.87</v>
      </c>
      <c r="AJ80" s="14">
        <f t="shared" si="69"/>
        <v>1.0000000009313226E-2</v>
      </c>
    </row>
    <row r="81" spans="13:36" x14ac:dyDescent="0.35">
      <c r="M81" s="195" t="s">
        <v>526</v>
      </c>
      <c r="T81" s="14">
        <f>AB64</f>
        <v>7789.13</v>
      </c>
      <c r="U81" s="14">
        <f t="shared" si="72"/>
        <v>7789.13</v>
      </c>
      <c r="V81" s="14">
        <f t="shared" si="72"/>
        <v>7789.13</v>
      </c>
      <c r="W81" s="14">
        <f t="shared" si="72"/>
        <v>7789.13</v>
      </c>
      <c r="X81" s="14">
        <f t="shared" si="72"/>
        <v>7789.13</v>
      </c>
      <c r="Y81" s="14">
        <f t="shared" si="72"/>
        <v>7789.13</v>
      </c>
      <c r="Z81" s="14">
        <f t="shared" si="72"/>
        <v>7789.13</v>
      </c>
      <c r="AA81" s="14">
        <f t="shared" si="72"/>
        <v>7789.13</v>
      </c>
      <c r="AF81" s="14">
        <f t="shared" si="66"/>
        <v>62313.039999999994</v>
      </c>
      <c r="AG81" s="14">
        <f t="shared" si="67"/>
        <v>93469.56</v>
      </c>
      <c r="AI81" s="14">
        <f t="shared" si="68"/>
        <v>93469.58</v>
      </c>
      <c r="AJ81" s="14">
        <f t="shared" si="69"/>
        <v>-2.0000000004074536E-2</v>
      </c>
    </row>
    <row r="82" spans="13:36" x14ac:dyDescent="0.35">
      <c r="M82" s="195" t="s">
        <v>527</v>
      </c>
      <c r="T82" s="14">
        <f>AC65</f>
        <v>0</v>
      </c>
      <c r="U82" s="14">
        <f t="shared" si="72"/>
        <v>0</v>
      </c>
      <c r="V82" s="14">
        <f t="shared" si="72"/>
        <v>0</v>
      </c>
      <c r="W82" s="14">
        <f t="shared" si="72"/>
        <v>0</v>
      </c>
      <c r="X82" s="14">
        <f t="shared" si="72"/>
        <v>0</v>
      </c>
      <c r="Y82" s="14">
        <f t="shared" si="72"/>
        <v>0</v>
      </c>
      <c r="Z82" s="14">
        <f t="shared" si="72"/>
        <v>0</v>
      </c>
      <c r="AA82" s="14">
        <f t="shared" si="72"/>
        <v>0</v>
      </c>
      <c r="AB82" s="14">
        <f t="shared" si="72"/>
        <v>0</v>
      </c>
      <c r="AF82" s="14">
        <f t="shared" si="66"/>
        <v>0</v>
      </c>
      <c r="AG82" s="14">
        <f t="shared" si="67"/>
        <v>0</v>
      </c>
      <c r="AI82" s="14">
        <f t="shared" si="68"/>
        <v>0</v>
      </c>
      <c r="AJ82" s="14">
        <f t="shared" si="69"/>
        <v>0</v>
      </c>
    </row>
    <row r="83" spans="13:36" x14ac:dyDescent="0.35">
      <c r="M83" s="205" t="s">
        <v>528</v>
      </c>
      <c r="T83" s="14">
        <f>AD66</f>
        <v>205.35</v>
      </c>
      <c r="U83" s="14">
        <f t="shared" si="72"/>
        <v>205.35</v>
      </c>
      <c r="V83" s="14">
        <f t="shared" si="72"/>
        <v>205.35</v>
      </c>
      <c r="W83" s="14">
        <f t="shared" si="72"/>
        <v>205.35</v>
      </c>
      <c r="X83" s="14">
        <f t="shared" si="72"/>
        <v>205.35</v>
      </c>
      <c r="Y83" s="14">
        <f t="shared" si="72"/>
        <v>205.35</v>
      </c>
      <c r="Z83" s="14">
        <f t="shared" si="72"/>
        <v>205.35</v>
      </c>
      <c r="AA83" s="14">
        <f t="shared" si="72"/>
        <v>205.35</v>
      </c>
      <c r="AB83" s="14">
        <f t="shared" si="72"/>
        <v>205.35</v>
      </c>
      <c r="AC83" s="14">
        <f t="shared" si="72"/>
        <v>205.35</v>
      </c>
      <c r="AF83" s="14">
        <f t="shared" si="66"/>
        <v>2053.4999999999995</v>
      </c>
      <c r="AG83" s="14">
        <f t="shared" si="67"/>
        <v>2464.1999999999994</v>
      </c>
      <c r="AI83" s="14">
        <f t="shared" si="68"/>
        <v>2464.21</v>
      </c>
      <c r="AJ83" s="14">
        <f t="shared" si="69"/>
        <v>-1.0000000000673026E-2</v>
      </c>
    </row>
    <row r="84" spans="13:36" x14ac:dyDescent="0.35">
      <c r="M84" s="205" t="s">
        <v>529</v>
      </c>
      <c r="U84" s="14">
        <f t="shared" si="72"/>
        <v>0</v>
      </c>
      <c r="AF84" s="14">
        <f t="shared" si="66"/>
        <v>0</v>
      </c>
      <c r="AG84" s="14">
        <f t="shared" si="67"/>
        <v>0</v>
      </c>
      <c r="AI84" s="14">
        <f t="shared" si="68"/>
        <v>0</v>
      </c>
    </row>
    <row r="85" spans="13:36" x14ac:dyDescent="0.35">
      <c r="M85" s="205" t="s">
        <v>523</v>
      </c>
      <c r="U85" s="14">
        <f t="shared" si="72"/>
        <v>0</v>
      </c>
      <c r="AF85" s="14">
        <f t="shared" si="66"/>
        <v>0</v>
      </c>
      <c r="AG85" s="14"/>
    </row>
    <row r="86" spans="13:36" x14ac:dyDescent="0.35">
      <c r="T86" s="14">
        <f>SUM(T74:T85)</f>
        <v>149996.99000000002</v>
      </c>
      <c r="U86" s="14">
        <f t="shared" ref="U86:AC86" si="73">SUM(U74:U85)</f>
        <v>112534.70000000001</v>
      </c>
      <c r="V86" s="14">
        <f t="shared" si="73"/>
        <v>84114</v>
      </c>
      <c r="W86" s="14">
        <f t="shared" si="73"/>
        <v>69138.2</v>
      </c>
      <c r="X86" s="14">
        <f t="shared" si="73"/>
        <v>53603.12999999999</v>
      </c>
      <c r="Y86" s="14">
        <f t="shared" si="73"/>
        <v>31204.46</v>
      </c>
      <c r="Z86" s="14">
        <f t="shared" si="73"/>
        <v>22624.219999999998</v>
      </c>
      <c r="AA86" s="14">
        <f t="shared" si="73"/>
        <v>7994.4800000000005</v>
      </c>
      <c r="AB86" s="14">
        <f t="shared" si="73"/>
        <v>205.35</v>
      </c>
      <c r="AC86" s="14">
        <f t="shared" si="73"/>
        <v>205.35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24193-A992-4875-99AD-716D7AF4240A}">
  <sheetPr codeName="Sheet14">
    <tabColor rgb="FFFF0000"/>
    <pageSetUpPr fitToPage="1"/>
  </sheetPr>
  <dimension ref="A1:XFD39"/>
  <sheetViews>
    <sheetView workbookViewId="0">
      <selection activeCell="F28" sqref="F28"/>
    </sheetView>
  </sheetViews>
  <sheetFormatPr defaultRowHeight="14.5" x14ac:dyDescent="0.35"/>
  <cols>
    <col min="1" max="1" width="7.54296875" bestFit="1" customWidth="1"/>
    <col min="2" max="2" width="6.453125" bestFit="1" customWidth="1"/>
    <col min="3" max="5" width="16.81640625" bestFit="1" customWidth="1"/>
    <col min="6" max="6" width="12" bestFit="1" customWidth="1"/>
    <col min="7" max="7" width="12.7265625" bestFit="1" customWidth="1"/>
    <col min="8" max="9" width="14" bestFit="1" customWidth="1"/>
    <col min="10" max="10" width="15.1796875" bestFit="1" customWidth="1"/>
    <col min="11" max="13" width="14" bestFit="1" customWidth="1"/>
    <col min="14" max="14" width="13.54296875" bestFit="1" customWidth="1"/>
    <col min="15" max="15" width="14.54296875" bestFit="1" customWidth="1"/>
    <col min="16" max="16" width="14" bestFit="1" customWidth="1"/>
    <col min="17" max="17" width="12.7265625" bestFit="1" customWidth="1"/>
    <col min="18" max="19" width="14" bestFit="1" customWidth="1"/>
  </cols>
  <sheetData>
    <row r="1" spans="1:19" ht="15.5" x14ac:dyDescent="0.35">
      <c r="S1" s="19"/>
    </row>
    <row r="2" spans="1:19" ht="15.5" x14ac:dyDescent="0.35">
      <c r="S2" s="19"/>
    </row>
    <row r="4" spans="1:19" s="42" customFormat="1" ht="14.5" customHeight="1" x14ac:dyDescent="0.35">
      <c r="A4" s="43" t="s">
        <v>109</v>
      </c>
      <c r="B4" s="43"/>
      <c r="C4" s="44"/>
      <c r="D4" s="44"/>
      <c r="E4" s="44"/>
      <c r="F4" s="44"/>
      <c r="G4" s="44"/>
      <c r="H4" s="44"/>
      <c r="I4" s="44"/>
      <c r="J4" s="44"/>
      <c r="K4" s="45"/>
      <c r="L4" s="45"/>
      <c r="M4" s="45"/>
      <c r="N4" s="45"/>
      <c r="O4" s="45"/>
      <c r="P4" s="45"/>
      <c r="Q4" s="45"/>
      <c r="R4" s="45"/>
      <c r="S4" s="45"/>
    </row>
    <row r="5" spans="1:19" s="31" customFormat="1" ht="17" x14ac:dyDescent="0.4">
      <c r="A5" s="27" t="s">
        <v>542</v>
      </c>
      <c r="B5" s="27"/>
      <c r="C5" s="46"/>
      <c r="D5" s="46"/>
      <c r="E5" s="46"/>
      <c r="F5" s="46"/>
      <c r="G5" s="46"/>
      <c r="H5" s="46"/>
      <c r="I5" s="46"/>
      <c r="J5" s="46"/>
      <c r="K5" s="46"/>
      <c r="L5" s="46"/>
      <c r="M5" s="46"/>
      <c r="N5" s="46"/>
      <c r="O5" s="46"/>
      <c r="P5" s="46"/>
      <c r="Q5" s="46"/>
      <c r="R5" s="46"/>
      <c r="S5" s="46"/>
    </row>
    <row r="6" spans="1:19" s="31" customFormat="1" ht="17" x14ac:dyDescent="0.4">
      <c r="A6" s="27" t="s">
        <v>543</v>
      </c>
      <c r="B6" s="27"/>
      <c r="C6" s="46"/>
      <c r="D6" s="46"/>
      <c r="E6" s="46"/>
      <c r="F6" s="46"/>
      <c r="G6" s="46"/>
      <c r="H6" s="46"/>
      <c r="I6" s="46"/>
      <c r="J6" s="46"/>
      <c r="K6" s="46"/>
      <c r="L6" s="46"/>
      <c r="M6" s="46"/>
      <c r="N6" s="46"/>
      <c r="O6" s="46"/>
      <c r="P6" s="46"/>
      <c r="Q6" s="46"/>
      <c r="R6" s="46"/>
      <c r="S6" s="46"/>
    </row>
    <row r="9" spans="1:19" ht="15.5" x14ac:dyDescent="0.35">
      <c r="A9" s="4"/>
      <c r="B9" s="4"/>
      <c r="C9" s="39" t="s">
        <v>544</v>
      </c>
      <c r="D9" s="30"/>
      <c r="E9" s="30"/>
      <c r="F9" s="30"/>
      <c r="G9" s="30"/>
      <c r="H9" s="30"/>
      <c r="I9" s="30"/>
      <c r="J9" s="30"/>
      <c r="K9" s="30"/>
      <c r="L9" s="2"/>
      <c r="M9" s="39" t="s">
        <v>178</v>
      </c>
      <c r="N9" s="30"/>
      <c r="O9" s="30"/>
      <c r="P9" s="31"/>
      <c r="Q9" s="31"/>
      <c r="R9" s="31"/>
      <c r="S9" s="31"/>
    </row>
    <row r="10" spans="1:19" ht="15.5" x14ac:dyDescent="0.35">
      <c r="A10" s="31"/>
      <c r="B10" s="31"/>
      <c r="C10" s="31"/>
      <c r="D10" s="20" t="s">
        <v>180</v>
      </c>
      <c r="E10" s="20" t="s">
        <v>179</v>
      </c>
      <c r="F10" s="31"/>
      <c r="G10" s="20" t="s">
        <v>180</v>
      </c>
      <c r="H10" s="20" t="s">
        <v>179</v>
      </c>
      <c r="I10" s="31"/>
      <c r="J10" s="31"/>
      <c r="K10" s="31"/>
      <c r="L10" s="31"/>
      <c r="M10" s="31"/>
      <c r="N10" s="31"/>
      <c r="O10" s="31"/>
      <c r="P10" s="31"/>
      <c r="Q10" s="31"/>
      <c r="R10" s="31"/>
      <c r="S10" s="31"/>
    </row>
    <row r="11" spans="1:19" ht="16" thickBot="1" x14ac:dyDescent="0.4">
      <c r="A11" s="31"/>
      <c r="B11" s="31"/>
      <c r="C11" s="20" t="s">
        <v>179</v>
      </c>
      <c r="D11" s="20" t="s">
        <v>179</v>
      </c>
      <c r="E11" s="20" t="s">
        <v>182</v>
      </c>
      <c r="F11" s="20" t="s">
        <v>183</v>
      </c>
      <c r="G11" s="20" t="s">
        <v>183</v>
      </c>
      <c r="H11" s="20" t="s">
        <v>184</v>
      </c>
      <c r="I11" s="31"/>
      <c r="J11" s="31"/>
      <c r="K11" s="31"/>
      <c r="L11" s="20" t="s">
        <v>185</v>
      </c>
      <c r="M11" s="31"/>
      <c r="N11" s="31"/>
      <c r="O11" s="4" t="s">
        <v>187</v>
      </c>
      <c r="P11" s="31"/>
      <c r="Q11" s="31"/>
      <c r="R11" s="31"/>
      <c r="S11" s="31"/>
    </row>
    <row r="12" spans="1:19" ht="16" thickBot="1" x14ac:dyDescent="0.4">
      <c r="A12" s="31"/>
      <c r="B12" s="31"/>
      <c r="C12" s="20" t="s">
        <v>182</v>
      </c>
      <c r="D12" s="20" t="s">
        <v>182</v>
      </c>
      <c r="E12" s="20" t="s">
        <v>189</v>
      </c>
      <c r="F12" s="20" t="s">
        <v>190</v>
      </c>
      <c r="G12" s="20" t="s">
        <v>190</v>
      </c>
      <c r="H12" s="20" t="s">
        <v>191</v>
      </c>
      <c r="I12" s="31"/>
      <c r="J12" s="20" t="s">
        <v>180</v>
      </c>
      <c r="K12" s="20" t="s">
        <v>149</v>
      </c>
      <c r="L12" s="20" t="s">
        <v>149</v>
      </c>
      <c r="M12" s="20" t="s">
        <v>192</v>
      </c>
      <c r="N12" s="20" t="s">
        <v>181</v>
      </c>
      <c r="O12" s="20" t="s">
        <v>193</v>
      </c>
      <c r="P12" s="31"/>
      <c r="Q12" s="32">
        <v>7.7812216821069235E-3</v>
      </c>
      <c r="R12" s="33" t="s">
        <v>194</v>
      </c>
      <c r="S12" s="31"/>
    </row>
    <row r="13" spans="1:19" ht="15.5" x14ac:dyDescent="0.35">
      <c r="A13" s="31"/>
      <c r="B13" s="31"/>
      <c r="C13" s="20" t="s">
        <v>189</v>
      </c>
      <c r="D13" s="20" t="s">
        <v>189</v>
      </c>
      <c r="E13" s="20" t="s">
        <v>196</v>
      </c>
      <c r="F13" s="20" t="s">
        <v>191</v>
      </c>
      <c r="G13" s="20" t="s">
        <v>191</v>
      </c>
      <c r="H13" s="20" t="s">
        <v>197</v>
      </c>
      <c r="I13" s="20" t="s">
        <v>149</v>
      </c>
      <c r="J13" s="20" t="s">
        <v>149</v>
      </c>
      <c r="K13" s="20" t="s">
        <v>197</v>
      </c>
      <c r="L13" s="20" t="s">
        <v>197</v>
      </c>
      <c r="M13" s="20" t="s">
        <v>197</v>
      </c>
      <c r="N13" s="20" t="s">
        <v>186</v>
      </c>
      <c r="O13" s="20" t="s">
        <v>186</v>
      </c>
      <c r="P13" s="20" t="s">
        <v>199</v>
      </c>
      <c r="Q13" s="20" t="s">
        <v>200</v>
      </c>
      <c r="R13" s="20" t="s">
        <v>201</v>
      </c>
      <c r="S13" s="20" t="s">
        <v>202</v>
      </c>
    </row>
    <row r="14" spans="1:19" ht="15.5" x14ac:dyDescent="0.35">
      <c r="A14" s="21" t="s">
        <v>203</v>
      </c>
      <c r="B14" s="21" t="s">
        <v>156</v>
      </c>
      <c r="C14" s="21" t="s">
        <v>204</v>
      </c>
      <c r="D14" s="21" t="s">
        <v>204</v>
      </c>
      <c r="E14" s="21" t="s">
        <v>205</v>
      </c>
      <c r="F14" s="21" t="s">
        <v>204</v>
      </c>
      <c r="G14" s="21" t="s">
        <v>204</v>
      </c>
      <c r="H14" s="21" t="s">
        <v>205</v>
      </c>
      <c r="I14" s="21" t="s">
        <v>204</v>
      </c>
      <c r="J14" s="21" t="s">
        <v>204</v>
      </c>
      <c r="K14" s="21" t="s">
        <v>205</v>
      </c>
      <c r="L14" s="21" t="s">
        <v>205</v>
      </c>
      <c r="M14" s="21" t="s">
        <v>205</v>
      </c>
      <c r="N14" s="21" t="s">
        <v>192</v>
      </c>
      <c r="O14" s="21" t="s">
        <v>192</v>
      </c>
      <c r="P14" s="21" t="s">
        <v>204</v>
      </c>
      <c r="Q14" s="21" t="s">
        <v>209</v>
      </c>
      <c r="R14" s="21" t="s">
        <v>205</v>
      </c>
      <c r="S14" s="21" t="s">
        <v>207</v>
      </c>
    </row>
    <row r="15" spans="1:19" ht="15.5" hidden="1" x14ac:dyDescent="0.35">
      <c r="A15" s="35">
        <v>45107</v>
      </c>
      <c r="B15" s="35"/>
      <c r="C15" s="31"/>
      <c r="D15" s="24">
        <f>+'Monthly Revenue Req.(EE&amp;C-1_p2)'!J15</f>
        <v>132462231.85000001</v>
      </c>
      <c r="E15" s="31"/>
      <c r="F15" s="31"/>
      <c r="G15" s="24">
        <f>'Monthly Revenue Req.(EE&amp;C-1_p2)'!G39</f>
        <v>11097290.460000001</v>
      </c>
      <c r="H15" s="31"/>
      <c r="I15" s="31"/>
      <c r="J15" s="36">
        <f>G15+D15</f>
        <v>143559522.31</v>
      </c>
      <c r="K15" s="31"/>
      <c r="L15" s="24">
        <f>'Monthly Revenue Req.(EE&amp;C-1_p2)'!L39</f>
        <v>40972924.810000002</v>
      </c>
      <c r="M15" s="31"/>
      <c r="N15" s="31"/>
      <c r="O15" s="24">
        <f>'Monthly Revenue Req.(EE&amp;C-1_p2)'!O39</f>
        <v>59322274.170231737</v>
      </c>
      <c r="P15" s="31"/>
      <c r="Q15" s="31"/>
      <c r="R15" s="31"/>
      <c r="S15" s="31"/>
    </row>
    <row r="16" spans="1:19" ht="15.5" hidden="1" x14ac:dyDescent="0.35">
      <c r="A16" s="35">
        <v>45108</v>
      </c>
      <c r="B16" s="35"/>
      <c r="C16" s="24">
        <v>5853718.8810734591</v>
      </c>
      <c r="D16" s="36">
        <f>D15+C16</f>
        <v>138315950.73107347</v>
      </c>
      <c r="E16" s="24">
        <f>+ROUND(D16/10/12,0)</f>
        <v>1152633</v>
      </c>
      <c r="F16" s="23">
        <v>309369.08846227074</v>
      </c>
      <c r="G16" s="36">
        <f>G15+F16</f>
        <v>11406659.548462272</v>
      </c>
      <c r="H16" s="24">
        <f>'Monthly Revenue Req.(EE&amp;C-1_p2)'!AM124</f>
        <v>79057.737499999988</v>
      </c>
      <c r="I16" s="24">
        <f t="shared" ref="I16:I28" si="0">F16+C16</f>
        <v>6163087.9695357298</v>
      </c>
      <c r="J16" s="36">
        <f>J15+I16</f>
        <v>149722610.27953574</v>
      </c>
      <c r="K16" s="24">
        <f>+H16+E16</f>
        <v>1231690.7375</v>
      </c>
      <c r="L16" s="36">
        <f>K16+L15</f>
        <v>42204615.547499999</v>
      </c>
      <c r="M16" s="24">
        <f>+I16</f>
        <v>6163087.9695357298</v>
      </c>
      <c r="N16" s="24">
        <f>(M16-K16)*0.2811</f>
        <v>1386215.7619252438</v>
      </c>
      <c r="O16" s="36">
        <f>O15+N16</f>
        <v>60708489.93215698</v>
      </c>
      <c r="P16" s="24">
        <f>+J16-L16-O16</f>
        <v>46809504.799878761</v>
      </c>
      <c r="Q16" s="24">
        <f t="shared" ref="Q16:Q21" si="1">P16*$Q$12</f>
        <v>364235.13367750472</v>
      </c>
      <c r="R16" s="23">
        <v>818669.97932366189</v>
      </c>
      <c r="S16" s="24">
        <f>+R16+Q16+K16</f>
        <v>2414595.8505011667</v>
      </c>
    </row>
    <row r="17" spans="1:16384" ht="15.5" hidden="1" x14ac:dyDescent="0.35">
      <c r="A17" s="35">
        <v>45139</v>
      </c>
      <c r="B17" s="35"/>
      <c r="C17" s="24">
        <v>5853718.8810734591</v>
      </c>
      <c r="D17" s="36">
        <f t="shared" ref="D17:D28" si="2">D16+C17</f>
        <v>144169669.61214691</v>
      </c>
      <c r="E17" s="24">
        <f t="shared" ref="E17:E28" si="3">+ROUND(D17/10/12,0)</f>
        <v>1201414</v>
      </c>
      <c r="F17" s="24">
        <v>309369.08846227074</v>
      </c>
      <c r="G17" s="36">
        <f t="shared" ref="G17:G28" si="4">G16+F17</f>
        <v>11716028.636924542</v>
      </c>
      <c r="H17" s="24">
        <f>'Monthly Revenue Req.(EE&amp;C-1_p2)'!AM125</f>
        <v>103842.19583333332</v>
      </c>
      <c r="I17" s="24">
        <f t="shared" si="0"/>
        <v>6163087.9695357298</v>
      </c>
      <c r="J17" s="36">
        <f t="shared" ref="J17:J28" si="5">J16+I17</f>
        <v>155885698.24907148</v>
      </c>
      <c r="K17" s="24">
        <f t="shared" ref="K17:K28" si="6">+H17+E17</f>
        <v>1305256.1958333333</v>
      </c>
      <c r="L17" s="36">
        <f t="shared" ref="L17:L27" si="7">K17+L16</f>
        <v>43509871.743333332</v>
      </c>
      <c r="M17" s="24">
        <f t="shared" ref="M17:M28" si="8">+I17</f>
        <v>6163087.9695357298</v>
      </c>
      <c r="N17" s="24">
        <f t="shared" ref="N17:N29" si="9">(M17-K17)*0.2811</f>
        <v>1365536.5115877436</v>
      </c>
      <c r="O17" s="36">
        <f t="shared" ref="O17:O28" si="10">O16+N17</f>
        <v>62074026.443744726</v>
      </c>
      <c r="P17" s="24">
        <f t="shared" ref="P17:P28" si="11">+J17-L17-O17</f>
        <v>50301800.061993413</v>
      </c>
      <c r="Q17" s="24">
        <f t="shared" si="1"/>
        <v>391409.45729139051</v>
      </c>
      <c r="R17" s="24">
        <v>818669.97932366189</v>
      </c>
      <c r="S17" s="24">
        <f t="shared" ref="S17:S28" si="12">+R17+Q17+K17</f>
        <v>2515335.6324483855</v>
      </c>
    </row>
    <row r="18" spans="1:16384" ht="15.5" hidden="1" x14ac:dyDescent="0.35">
      <c r="A18" s="35">
        <v>45170</v>
      </c>
      <c r="B18" s="35"/>
      <c r="C18" s="24">
        <v>5853718.8810734591</v>
      </c>
      <c r="D18" s="36">
        <f t="shared" si="2"/>
        <v>150023388.49322036</v>
      </c>
      <c r="E18" s="24">
        <f t="shared" si="3"/>
        <v>1250195</v>
      </c>
      <c r="F18" s="24">
        <v>309369.08846227074</v>
      </c>
      <c r="G18" s="36">
        <f t="shared" si="4"/>
        <v>12025397.725386813</v>
      </c>
      <c r="H18" s="24">
        <f>'Monthly Revenue Req.(EE&amp;C-1_p2)'!AM126</f>
        <v>152752.83749999997</v>
      </c>
      <c r="I18" s="24">
        <f t="shared" si="0"/>
        <v>6163087.9695357298</v>
      </c>
      <c r="J18" s="36">
        <f t="shared" si="5"/>
        <v>162048786.21860722</v>
      </c>
      <c r="K18" s="24">
        <f t="shared" si="6"/>
        <v>1402947.8374999999</v>
      </c>
      <c r="L18" s="36">
        <f t="shared" si="7"/>
        <v>44912819.580833331</v>
      </c>
      <c r="M18" s="24">
        <f t="shared" si="8"/>
        <v>6163087.9695357298</v>
      </c>
      <c r="N18" s="24">
        <f t="shared" si="9"/>
        <v>1338075.391115244</v>
      </c>
      <c r="O18" s="36">
        <f t="shared" si="10"/>
        <v>63412101.834859967</v>
      </c>
      <c r="P18" s="24">
        <f t="shared" si="11"/>
        <v>53723864.802913919</v>
      </c>
      <c r="Q18" s="24">
        <f t="shared" si="1"/>
        <v>418037.30165101477</v>
      </c>
      <c r="R18" s="24">
        <v>818669.97932366189</v>
      </c>
      <c r="S18" s="24">
        <f t="shared" si="12"/>
        <v>2639655.1184746763</v>
      </c>
    </row>
    <row r="19" spans="1:16384" ht="15.5" hidden="1" x14ac:dyDescent="0.35">
      <c r="A19" s="35">
        <v>45200</v>
      </c>
      <c r="B19" s="35"/>
      <c r="C19" s="24">
        <v>5853718.8810734591</v>
      </c>
      <c r="D19" s="36">
        <f t="shared" si="2"/>
        <v>155877107.3742938</v>
      </c>
      <c r="E19" s="24">
        <f t="shared" si="3"/>
        <v>1298976</v>
      </c>
      <c r="F19" s="24">
        <v>309369.08846227074</v>
      </c>
      <c r="G19" s="36">
        <f t="shared" si="4"/>
        <v>12334766.813849084</v>
      </c>
      <c r="H19" s="24">
        <f>'Monthly Revenue Req.(EE&amp;C-1_p2)'!AM127</f>
        <v>167001.10666666663</v>
      </c>
      <c r="I19" s="24">
        <f t="shared" si="0"/>
        <v>6163087.9695357298</v>
      </c>
      <c r="J19" s="36">
        <f t="shared" si="5"/>
        <v>168211874.18814296</v>
      </c>
      <c r="K19" s="24">
        <f t="shared" si="6"/>
        <v>1465977.1066666667</v>
      </c>
      <c r="L19" s="36">
        <f t="shared" si="7"/>
        <v>46378796.6875</v>
      </c>
      <c r="M19" s="24">
        <f t="shared" si="8"/>
        <v>6163087.9695357298</v>
      </c>
      <c r="N19" s="24">
        <f t="shared" si="9"/>
        <v>1320357.8635524937</v>
      </c>
      <c r="O19" s="36">
        <f t="shared" si="10"/>
        <v>64732459.698412463</v>
      </c>
      <c r="P19" s="24">
        <f t="shared" si="11"/>
        <v>57100617.802230492</v>
      </c>
      <c r="Q19" s="24">
        <f t="shared" si="1"/>
        <v>444312.56530441646</v>
      </c>
      <c r="R19" s="24">
        <v>818669.97932366189</v>
      </c>
      <c r="S19" s="24">
        <f t="shared" si="12"/>
        <v>2728959.651294745</v>
      </c>
    </row>
    <row r="20" spans="1:16384" ht="15.5" hidden="1" x14ac:dyDescent="0.35">
      <c r="A20" s="35">
        <v>45231</v>
      </c>
      <c r="B20" s="35"/>
      <c r="C20" s="24">
        <v>5853718.8810734591</v>
      </c>
      <c r="D20" s="36">
        <f t="shared" si="2"/>
        <v>161730826.25536725</v>
      </c>
      <c r="E20" s="24">
        <f t="shared" si="3"/>
        <v>1347757</v>
      </c>
      <c r="F20" s="24">
        <v>309369.08846227074</v>
      </c>
      <c r="G20" s="36">
        <f t="shared" si="4"/>
        <v>12644135.902311355</v>
      </c>
      <c r="H20" s="24">
        <f>'Monthly Revenue Req.(EE&amp;C-1_p2)'!AM128</f>
        <v>203444.91916666666</v>
      </c>
      <c r="I20" s="24">
        <f t="shared" si="0"/>
        <v>6163087.9695357298</v>
      </c>
      <c r="J20" s="36">
        <f t="shared" si="5"/>
        <v>174374962.15767869</v>
      </c>
      <c r="K20" s="24">
        <f t="shared" si="6"/>
        <v>1551201.9191666667</v>
      </c>
      <c r="L20" s="36">
        <f t="shared" si="7"/>
        <v>47929998.606666669</v>
      </c>
      <c r="M20" s="24">
        <f t="shared" si="8"/>
        <v>6163087.9695357298</v>
      </c>
      <c r="N20" s="24">
        <f t="shared" si="9"/>
        <v>1296401.1687587439</v>
      </c>
      <c r="O20" s="36">
        <f t="shared" si="10"/>
        <v>66028860.867171206</v>
      </c>
      <c r="P20" s="24">
        <f t="shared" si="11"/>
        <v>60416102.683840819</v>
      </c>
      <c r="Q20" s="24">
        <f t="shared" si="1"/>
        <v>470111.08815190045</v>
      </c>
      <c r="R20" s="24">
        <v>818669.97932366189</v>
      </c>
      <c r="S20" s="24">
        <f t="shared" si="12"/>
        <v>2839982.9866422294</v>
      </c>
    </row>
    <row r="21" spans="1:16384" ht="15.5" hidden="1" x14ac:dyDescent="0.35">
      <c r="A21" s="35">
        <v>45261</v>
      </c>
      <c r="B21" s="35"/>
      <c r="C21" s="24">
        <v>5853718.8810734591</v>
      </c>
      <c r="D21" s="36">
        <f t="shared" si="2"/>
        <v>167584545.13644069</v>
      </c>
      <c r="E21" s="24">
        <f t="shared" si="3"/>
        <v>1396538</v>
      </c>
      <c r="F21" s="24">
        <v>309369.08846227074</v>
      </c>
      <c r="G21" s="36">
        <f t="shared" si="4"/>
        <v>12953504.990773626</v>
      </c>
      <c r="H21" s="24">
        <f>'Monthly Revenue Req.(EE&amp;C-1_p2)'!AM129</f>
        <v>231679.20166666663</v>
      </c>
      <c r="I21" s="24">
        <f t="shared" si="0"/>
        <v>6163087.9695357298</v>
      </c>
      <c r="J21" s="36">
        <f t="shared" si="5"/>
        <v>180538050.12721443</v>
      </c>
      <c r="K21" s="24">
        <f t="shared" si="6"/>
        <v>1628217.2016666667</v>
      </c>
      <c r="L21" s="36">
        <f t="shared" si="7"/>
        <v>49558215.808333337</v>
      </c>
      <c r="M21" s="24">
        <f t="shared" si="8"/>
        <v>6163087.9695357298</v>
      </c>
      <c r="N21" s="24">
        <f t="shared" si="9"/>
        <v>1274752.1728479937</v>
      </c>
      <c r="O21" s="36">
        <f t="shared" si="10"/>
        <v>67303613.040019199</v>
      </c>
      <c r="P21" s="24">
        <f t="shared" si="11"/>
        <v>63676221.278861895</v>
      </c>
      <c r="Q21" s="24">
        <f t="shared" si="1"/>
        <v>495478.79364971846</v>
      </c>
      <c r="R21" s="24">
        <v>818669.97932366189</v>
      </c>
      <c r="S21" s="24">
        <f t="shared" si="12"/>
        <v>2942365.9746400472</v>
      </c>
    </row>
    <row r="22" spans="1:16384" ht="15.5" x14ac:dyDescent="0.35">
      <c r="A22" s="37"/>
      <c r="B22" s="37"/>
      <c r="C22" s="31"/>
      <c r="D22" s="38">
        <f>+'Monthly Revenue Req.(EE&amp;C-1_p2)'!D21</f>
        <v>201978213.37999997</v>
      </c>
      <c r="E22" s="31"/>
      <c r="F22" s="31"/>
      <c r="G22" s="23">
        <f>+'Monthly Revenue Req.(EE&amp;C-1_p2)'!G21</f>
        <v>9150219.2100000009</v>
      </c>
      <c r="H22" s="31"/>
      <c r="I22" s="31"/>
      <c r="J22" s="23">
        <f>+'Monthly Revenue Req.(EE&amp;C-1_p2)'!J21</f>
        <v>211128432.59</v>
      </c>
      <c r="K22" s="31"/>
      <c r="L22" s="23">
        <f>+'Monthly Revenue Req.(EE&amp;C-1_p2)'!L21</f>
        <v>26665496.740000002</v>
      </c>
      <c r="M22" s="31"/>
      <c r="N22" s="31"/>
      <c r="O22" s="23">
        <f>+'Monthly Revenue Req.(EE&amp;C-1_p2)'!O21</f>
        <v>51852530.806719735</v>
      </c>
      <c r="P22" s="38"/>
      <c r="Q22" s="31"/>
      <c r="R22" s="31"/>
      <c r="S22" s="31"/>
      <c r="T22" s="1"/>
      <c r="V22" s="8"/>
      <c r="Y22" s="7"/>
      <c r="AB22" s="7"/>
      <c r="AD22" s="7"/>
      <c r="AG22" s="7"/>
      <c r="AH22" s="8"/>
      <c r="AL22" s="1"/>
      <c r="AN22" s="8"/>
      <c r="AQ22" s="7"/>
      <c r="AT22" s="7"/>
      <c r="AV22" s="7"/>
      <c r="AY22" s="7"/>
      <c r="AZ22" s="8"/>
      <c r="BD22" s="1"/>
      <c r="BF22" s="8"/>
      <c r="BI22" s="7"/>
      <c r="BL22" s="7"/>
      <c r="BN22" s="7"/>
      <c r="BQ22" s="7"/>
      <c r="BR22" s="8"/>
      <c r="BV22" s="1"/>
      <c r="BX22" s="8"/>
      <c r="CA22" s="7"/>
      <c r="CD22" s="7"/>
      <c r="CF22" s="7"/>
      <c r="CI22" s="7"/>
      <c r="CJ22" s="8"/>
      <c r="CN22" s="1"/>
      <c r="CP22" s="8"/>
      <c r="CS22" s="7"/>
      <c r="CV22" s="7"/>
      <c r="CX22" s="7"/>
      <c r="DA22" s="7"/>
      <c r="DB22" s="8"/>
      <c r="DF22" s="1"/>
      <c r="DH22" s="8"/>
      <c r="DK22" s="7"/>
      <c r="DN22" s="7"/>
      <c r="DP22" s="7"/>
      <c r="DS22" s="7"/>
      <c r="DT22" s="8"/>
      <c r="DX22" s="1"/>
      <c r="DZ22" s="8"/>
      <c r="EC22" s="7"/>
      <c r="EF22" s="7"/>
      <c r="EH22" s="7"/>
      <c r="EK22" s="7"/>
      <c r="EL22" s="8"/>
      <c r="EP22" s="1"/>
      <c r="ER22" s="8"/>
      <c r="EU22" s="7"/>
      <c r="EX22" s="7"/>
      <c r="EZ22" s="7"/>
      <c r="FC22" s="7"/>
      <c r="FD22" s="8"/>
      <c r="FH22" s="1"/>
      <c r="FJ22" s="8"/>
      <c r="FM22" s="7"/>
      <c r="FP22" s="7"/>
      <c r="FR22" s="7"/>
      <c r="FU22" s="7"/>
      <c r="FV22" s="8"/>
      <c r="FZ22" s="1"/>
      <c r="GB22" s="8"/>
      <c r="GE22" s="7"/>
      <c r="GH22" s="7"/>
      <c r="GJ22" s="7"/>
      <c r="GM22" s="7"/>
      <c r="GN22" s="8"/>
      <c r="GR22" s="1"/>
      <c r="GT22" s="8"/>
      <c r="GW22" s="7"/>
      <c r="GZ22" s="7"/>
      <c r="HB22" s="7"/>
      <c r="HE22" s="7"/>
      <c r="HF22" s="8"/>
      <c r="HJ22" s="1"/>
      <c r="HL22" s="8"/>
      <c r="HO22" s="7"/>
      <c r="HR22" s="7"/>
      <c r="HT22" s="7"/>
      <c r="HW22" s="7"/>
      <c r="HX22" s="8"/>
      <c r="IB22" s="1"/>
      <c r="ID22" s="8"/>
      <c r="IG22" s="7"/>
      <c r="IJ22" s="7"/>
      <c r="IL22" s="7"/>
      <c r="IO22" s="7"/>
      <c r="IP22" s="8"/>
      <c r="IT22" s="1"/>
      <c r="IV22" s="8"/>
      <c r="IY22" s="7"/>
      <c r="JB22" s="7"/>
      <c r="JD22" s="7"/>
      <c r="JG22" s="7"/>
      <c r="JH22" s="8"/>
      <c r="JL22" s="1"/>
      <c r="JN22" s="8"/>
      <c r="JQ22" s="7"/>
      <c r="JT22" s="7"/>
      <c r="JV22" s="7"/>
      <c r="JY22" s="7"/>
      <c r="JZ22" s="8"/>
      <c r="KD22" s="1"/>
      <c r="KF22" s="8"/>
      <c r="KI22" s="7"/>
      <c r="KL22" s="7"/>
      <c r="KN22" s="7"/>
      <c r="KQ22" s="7"/>
      <c r="KR22" s="8"/>
      <c r="KV22" s="1"/>
      <c r="KX22" s="8"/>
      <c r="LA22" s="7"/>
      <c r="LD22" s="7"/>
      <c r="LF22" s="7"/>
      <c r="LI22" s="7"/>
      <c r="LJ22" s="8"/>
      <c r="LN22" s="1"/>
      <c r="LP22" s="8"/>
      <c r="LS22" s="7"/>
      <c r="LV22" s="7"/>
      <c r="LX22" s="7"/>
      <c r="MA22" s="7"/>
      <c r="MB22" s="8"/>
      <c r="MF22" s="1"/>
      <c r="MH22" s="8"/>
      <c r="MK22" s="7"/>
      <c r="MN22" s="7"/>
      <c r="MP22" s="7"/>
      <c r="MS22" s="7"/>
      <c r="MT22" s="8"/>
      <c r="MX22" s="1"/>
      <c r="MZ22" s="8"/>
      <c r="NC22" s="7"/>
      <c r="NF22" s="7"/>
      <c r="NH22" s="7"/>
      <c r="NK22" s="7"/>
      <c r="NL22" s="8"/>
      <c r="NP22" s="1"/>
      <c r="NR22" s="8"/>
      <c r="NU22" s="7"/>
      <c r="NX22" s="7"/>
      <c r="NZ22" s="7"/>
      <c r="OC22" s="7"/>
      <c r="OD22" s="8"/>
      <c r="OH22" s="1"/>
      <c r="OJ22" s="8"/>
      <c r="OM22" s="7"/>
      <c r="OP22" s="7"/>
      <c r="OR22" s="7"/>
      <c r="OU22" s="7"/>
      <c r="OV22" s="8"/>
      <c r="OZ22" s="1"/>
      <c r="PB22" s="8"/>
      <c r="PE22" s="7"/>
      <c r="PH22" s="7"/>
      <c r="PJ22" s="7"/>
      <c r="PM22" s="7"/>
      <c r="PN22" s="8"/>
      <c r="PR22" s="1"/>
      <c r="PT22" s="8"/>
      <c r="PW22" s="7"/>
      <c r="PZ22" s="7"/>
      <c r="QB22" s="7"/>
      <c r="QE22" s="7"/>
      <c r="QF22" s="8"/>
      <c r="QJ22" s="1"/>
      <c r="QL22" s="8"/>
      <c r="QO22" s="7"/>
      <c r="QR22" s="7"/>
      <c r="QT22" s="7"/>
      <c r="QW22" s="7"/>
      <c r="QX22" s="8"/>
      <c r="RB22" s="1"/>
      <c r="RD22" s="8"/>
      <c r="RG22" s="7"/>
      <c r="RJ22" s="7"/>
      <c r="RL22" s="7"/>
      <c r="RO22" s="7"/>
      <c r="RP22" s="8"/>
      <c r="RT22" s="1"/>
      <c r="RV22" s="8"/>
      <c r="RY22" s="7"/>
      <c r="SB22" s="7"/>
      <c r="SD22" s="7"/>
      <c r="SG22" s="7"/>
      <c r="SH22" s="8"/>
      <c r="SL22" s="1"/>
      <c r="SN22" s="8"/>
      <c r="SQ22" s="7"/>
      <c r="ST22" s="7"/>
      <c r="SV22" s="7"/>
      <c r="SY22" s="7"/>
      <c r="SZ22" s="8"/>
      <c r="TD22" s="1"/>
      <c r="TF22" s="8"/>
      <c r="TI22" s="7"/>
      <c r="TL22" s="7"/>
      <c r="TN22" s="7"/>
      <c r="TQ22" s="7"/>
      <c r="TR22" s="8"/>
      <c r="TV22" s="1"/>
      <c r="TX22" s="8"/>
      <c r="UA22" s="7"/>
      <c r="UD22" s="7"/>
      <c r="UF22" s="7"/>
      <c r="UI22" s="7"/>
      <c r="UJ22" s="8"/>
      <c r="UN22" s="1"/>
      <c r="UP22" s="8"/>
      <c r="US22" s="7"/>
      <c r="UV22" s="7"/>
      <c r="UX22" s="7"/>
      <c r="VA22" s="7"/>
      <c r="VB22" s="8"/>
      <c r="VF22" s="1"/>
      <c r="VH22" s="8"/>
      <c r="VK22" s="7"/>
      <c r="VN22" s="7"/>
      <c r="VP22" s="7"/>
      <c r="VS22" s="7"/>
      <c r="VT22" s="8"/>
      <c r="VX22" s="1"/>
      <c r="VZ22" s="8"/>
      <c r="WC22" s="7"/>
      <c r="WF22" s="7"/>
      <c r="WH22" s="7"/>
      <c r="WK22" s="7"/>
      <c r="WL22" s="8"/>
      <c r="WP22" s="1"/>
      <c r="WR22" s="8"/>
      <c r="WU22" s="7"/>
      <c r="WX22" s="7"/>
      <c r="WZ22" s="7"/>
      <c r="XC22" s="7"/>
      <c r="XD22" s="8"/>
      <c r="XH22" s="1"/>
      <c r="XJ22" s="8"/>
      <c r="XM22" s="7"/>
      <c r="XP22" s="7"/>
      <c r="XR22" s="7"/>
      <c r="XU22" s="7"/>
      <c r="XV22" s="8"/>
      <c r="XZ22" s="1"/>
      <c r="YB22" s="8"/>
      <c r="YE22" s="7"/>
      <c r="YH22" s="7"/>
      <c r="YJ22" s="7"/>
      <c r="YM22" s="7"/>
      <c r="YN22" s="8"/>
      <c r="YR22" s="1"/>
      <c r="YT22" s="8"/>
      <c r="YW22" s="7"/>
      <c r="YZ22" s="7"/>
      <c r="ZB22" s="7"/>
      <c r="ZE22" s="7"/>
      <c r="ZF22" s="8"/>
      <c r="ZJ22" s="1"/>
      <c r="ZL22" s="8"/>
      <c r="ZO22" s="7"/>
      <c r="ZR22" s="7"/>
      <c r="ZT22" s="7"/>
      <c r="ZW22" s="7"/>
      <c r="ZX22" s="8"/>
      <c r="AAB22" s="1"/>
      <c r="AAD22" s="8"/>
      <c r="AAG22" s="7"/>
      <c r="AAJ22" s="7"/>
      <c r="AAL22" s="7"/>
      <c r="AAO22" s="7"/>
      <c r="AAP22" s="8"/>
      <c r="AAT22" s="1"/>
      <c r="AAV22" s="8"/>
      <c r="AAY22" s="7"/>
      <c r="ABB22" s="7"/>
      <c r="ABD22" s="7"/>
      <c r="ABG22" s="7"/>
      <c r="ABH22" s="8"/>
      <c r="ABL22" s="1"/>
      <c r="ABN22" s="8"/>
      <c r="ABQ22" s="7"/>
      <c r="ABT22" s="7"/>
      <c r="ABV22" s="7"/>
      <c r="ABY22" s="7"/>
      <c r="ABZ22" s="8"/>
      <c r="ACD22" s="1"/>
      <c r="ACF22" s="8"/>
      <c r="ACI22" s="7"/>
      <c r="ACL22" s="7"/>
      <c r="ACN22" s="7"/>
      <c r="ACQ22" s="7"/>
      <c r="ACR22" s="8"/>
      <c r="ACV22" s="1"/>
      <c r="ACX22" s="8"/>
      <c r="ADA22" s="7"/>
      <c r="ADD22" s="7"/>
      <c r="ADF22" s="7"/>
      <c r="ADI22" s="7"/>
      <c r="ADJ22" s="8"/>
      <c r="ADN22" s="1"/>
      <c r="ADP22" s="8"/>
      <c r="ADS22" s="7"/>
      <c r="ADV22" s="7"/>
      <c r="ADX22" s="7"/>
      <c r="AEA22" s="7"/>
      <c r="AEB22" s="8"/>
      <c r="AEF22" s="1"/>
      <c r="AEH22" s="8"/>
      <c r="AEK22" s="7"/>
      <c r="AEN22" s="7"/>
      <c r="AEP22" s="7"/>
      <c r="AES22" s="7"/>
      <c r="AET22" s="8"/>
      <c r="AEX22" s="1"/>
      <c r="AEZ22" s="8"/>
      <c r="AFC22" s="7"/>
      <c r="AFF22" s="7"/>
      <c r="AFH22" s="7"/>
      <c r="AFK22" s="7"/>
      <c r="AFL22" s="8"/>
      <c r="AFP22" s="1"/>
      <c r="AFR22" s="8"/>
      <c r="AFU22" s="7"/>
      <c r="AFX22" s="7"/>
      <c r="AFZ22" s="7"/>
      <c r="AGC22" s="7"/>
      <c r="AGD22" s="8"/>
      <c r="AGH22" s="1"/>
      <c r="AGJ22" s="8"/>
      <c r="AGM22" s="7"/>
      <c r="AGP22" s="7"/>
      <c r="AGR22" s="7"/>
      <c r="AGU22" s="7"/>
      <c r="AGV22" s="8"/>
      <c r="AGZ22" s="1"/>
      <c r="AHB22" s="8"/>
      <c r="AHE22" s="7"/>
      <c r="AHH22" s="7"/>
      <c r="AHJ22" s="7"/>
      <c r="AHM22" s="7"/>
      <c r="AHN22" s="8"/>
      <c r="AHR22" s="1"/>
      <c r="AHT22" s="8"/>
      <c r="AHW22" s="7"/>
      <c r="AHZ22" s="7"/>
      <c r="AIB22" s="7"/>
      <c r="AIE22" s="7"/>
      <c r="AIF22" s="8"/>
      <c r="AIJ22" s="1"/>
      <c r="AIL22" s="8"/>
      <c r="AIO22" s="7"/>
      <c r="AIR22" s="7"/>
      <c r="AIT22" s="7"/>
      <c r="AIW22" s="7"/>
      <c r="AIX22" s="8"/>
      <c r="AJB22" s="1"/>
      <c r="AJD22" s="8"/>
      <c r="AJG22" s="7"/>
      <c r="AJJ22" s="7"/>
      <c r="AJL22" s="7"/>
      <c r="AJO22" s="7"/>
      <c r="AJP22" s="8"/>
      <c r="AJT22" s="1"/>
      <c r="AJV22" s="8"/>
      <c r="AJY22" s="7"/>
      <c r="AKB22" s="7"/>
      <c r="AKD22" s="7"/>
      <c r="AKG22" s="7"/>
      <c r="AKH22" s="8"/>
      <c r="AKL22" s="1"/>
      <c r="AKN22" s="8"/>
      <c r="AKQ22" s="7"/>
      <c r="AKT22" s="7"/>
      <c r="AKV22" s="7"/>
      <c r="AKY22" s="7"/>
      <c r="AKZ22" s="8"/>
      <c r="ALD22" s="1"/>
      <c r="ALF22" s="8"/>
      <c r="ALI22" s="7"/>
      <c r="ALL22" s="7"/>
      <c r="ALN22" s="7"/>
      <c r="ALQ22" s="7"/>
      <c r="ALR22" s="8"/>
      <c r="ALV22" s="1"/>
      <c r="ALX22" s="8"/>
      <c r="AMA22" s="7"/>
      <c r="AMD22" s="7"/>
      <c r="AMF22" s="7"/>
      <c r="AMI22" s="7"/>
      <c r="AMJ22" s="8"/>
      <c r="AMN22" s="1"/>
      <c r="AMP22" s="8"/>
      <c r="AMS22" s="7"/>
      <c r="AMV22" s="7"/>
      <c r="AMX22" s="7"/>
      <c r="ANA22" s="7"/>
      <c r="ANB22" s="8"/>
      <c r="ANF22" s="1"/>
      <c r="ANH22" s="8"/>
      <c r="ANK22" s="7"/>
      <c r="ANN22" s="7"/>
      <c r="ANP22" s="7"/>
      <c r="ANS22" s="7"/>
      <c r="ANT22" s="8"/>
      <c r="ANX22" s="1"/>
      <c r="ANZ22" s="8"/>
      <c r="AOC22" s="7"/>
      <c r="AOF22" s="7"/>
      <c r="AOH22" s="7"/>
      <c r="AOK22" s="7"/>
      <c r="AOL22" s="8"/>
      <c r="AOP22" s="1"/>
      <c r="AOR22" s="8"/>
      <c r="AOU22" s="7"/>
      <c r="AOX22" s="7"/>
      <c r="AOZ22" s="7"/>
      <c r="APC22" s="7"/>
      <c r="APD22" s="8"/>
      <c r="APH22" s="1"/>
      <c r="APJ22" s="8"/>
      <c r="APM22" s="7"/>
      <c r="APP22" s="7"/>
      <c r="APR22" s="7"/>
      <c r="APU22" s="7"/>
      <c r="APV22" s="8"/>
      <c r="APZ22" s="1"/>
      <c r="AQB22" s="8"/>
      <c r="AQE22" s="7"/>
      <c r="AQH22" s="7"/>
      <c r="AQJ22" s="7"/>
      <c r="AQM22" s="7"/>
      <c r="AQN22" s="8"/>
      <c r="AQR22" s="1"/>
      <c r="AQT22" s="8"/>
      <c r="AQW22" s="7"/>
      <c r="AQZ22" s="7"/>
      <c r="ARB22" s="7"/>
      <c r="ARE22" s="7"/>
      <c r="ARF22" s="8"/>
      <c r="ARJ22" s="1"/>
      <c r="ARL22" s="8"/>
      <c r="ARO22" s="7"/>
      <c r="ARR22" s="7"/>
      <c r="ART22" s="7"/>
      <c r="ARW22" s="7"/>
      <c r="ARX22" s="8"/>
      <c r="ASB22" s="1"/>
      <c r="ASD22" s="8"/>
      <c r="ASG22" s="7"/>
      <c r="ASJ22" s="7"/>
      <c r="ASL22" s="7"/>
      <c r="ASO22" s="7"/>
      <c r="ASP22" s="8"/>
      <c r="AST22" s="1"/>
      <c r="ASV22" s="8"/>
      <c r="ASY22" s="7"/>
      <c r="ATB22" s="7"/>
      <c r="ATD22" s="7"/>
      <c r="ATG22" s="7"/>
      <c r="ATH22" s="8"/>
      <c r="ATL22" s="1"/>
      <c r="ATN22" s="8"/>
      <c r="ATQ22" s="7"/>
      <c r="ATT22" s="7"/>
      <c r="ATV22" s="7"/>
      <c r="ATY22" s="7"/>
      <c r="ATZ22" s="8"/>
      <c r="AUD22" s="1"/>
      <c r="AUF22" s="8"/>
      <c r="AUI22" s="7"/>
      <c r="AUL22" s="7"/>
      <c r="AUN22" s="7"/>
      <c r="AUQ22" s="7"/>
      <c r="AUR22" s="8"/>
      <c r="AUV22" s="1"/>
      <c r="AUX22" s="8"/>
      <c r="AVA22" s="7"/>
      <c r="AVD22" s="7"/>
      <c r="AVF22" s="7"/>
      <c r="AVI22" s="7"/>
      <c r="AVJ22" s="8"/>
      <c r="AVN22" s="1"/>
      <c r="AVP22" s="8"/>
      <c r="AVS22" s="7"/>
      <c r="AVV22" s="7"/>
      <c r="AVX22" s="7"/>
      <c r="AWA22" s="7"/>
      <c r="AWB22" s="8"/>
      <c r="AWF22" s="1"/>
      <c r="AWH22" s="8"/>
      <c r="AWK22" s="7"/>
      <c r="AWN22" s="7"/>
      <c r="AWP22" s="7"/>
      <c r="AWS22" s="7"/>
      <c r="AWT22" s="8"/>
      <c r="AWX22" s="1"/>
      <c r="AWZ22" s="8"/>
      <c r="AXC22" s="7"/>
      <c r="AXF22" s="7"/>
      <c r="AXH22" s="7"/>
      <c r="AXK22" s="7"/>
      <c r="AXL22" s="8"/>
      <c r="AXP22" s="1"/>
      <c r="AXR22" s="8"/>
      <c r="AXU22" s="7"/>
      <c r="AXX22" s="7"/>
      <c r="AXZ22" s="7"/>
      <c r="AYC22" s="7"/>
      <c r="AYD22" s="8"/>
      <c r="AYH22" s="1"/>
      <c r="AYJ22" s="8"/>
      <c r="AYM22" s="7"/>
      <c r="AYP22" s="7"/>
      <c r="AYR22" s="7"/>
      <c r="AYU22" s="7"/>
      <c r="AYV22" s="8"/>
      <c r="AYZ22" s="1"/>
      <c r="AZB22" s="8"/>
      <c r="AZE22" s="7"/>
      <c r="AZH22" s="7"/>
      <c r="AZJ22" s="7"/>
      <c r="AZM22" s="7"/>
      <c r="AZN22" s="8"/>
      <c r="AZR22" s="1"/>
      <c r="AZT22" s="8"/>
      <c r="AZW22" s="7"/>
      <c r="AZZ22" s="7"/>
      <c r="BAB22" s="7"/>
      <c r="BAE22" s="7"/>
      <c r="BAF22" s="8"/>
      <c r="BAJ22" s="1"/>
      <c r="BAL22" s="8"/>
      <c r="BAO22" s="7"/>
      <c r="BAR22" s="7"/>
      <c r="BAT22" s="7"/>
      <c r="BAW22" s="7"/>
      <c r="BAX22" s="8"/>
      <c r="BBB22" s="1"/>
      <c r="BBD22" s="8"/>
      <c r="BBG22" s="7"/>
      <c r="BBJ22" s="7"/>
      <c r="BBL22" s="7"/>
      <c r="BBO22" s="7"/>
      <c r="BBP22" s="8"/>
      <c r="BBT22" s="1"/>
      <c r="BBV22" s="8"/>
      <c r="BBY22" s="7"/>
      <c r="BCB22" s="7"/>
      <c r="BCD22" s="7"/>
      <c r="BCG22" s="7"/>
      <c r="BCH22" s="8"/>
      <c r="BCL22" s="1"/>
      <c r="BCN22" s="8"/>
      <c r="BCQ22" s="7"/>
      <c r="BCT22" s="7"/>
      <c r="BCV22" s="7"/>
      <c r="BCY22" s="7"/>
      <c r="BCZ22" s="8"/>
      <c r="BDD22" s="1"/>
      <c r="BDF22" s="8"/>
      <c r="BDI22" s="7"/>
      <c r="BDL22" s="7"/>
      <c r="BDN22" s="7"/>
      <c r="BDQ22" s="7"/>
      <c r="BDR22" s="8"/>
      <c r="BDV22" s="1"/>
      <c r="BDX22" s="8"/>
      <c r="BEA22" s="7"/>
      <c r="BED22" s="7"/>
      <c r="BEF22" s="7"/>
      <c r="BEI22" s="7"/>
      <c r="BEJ22" s="8"/>
      <c r="BEN22" s="1"/>
      <c r="BEP22" s="8"/>
      <c r="BES22" s="7"/>
      <c r="BEV22" s="7"/>
      <c r="BEX22" s="7"/>
      <c r="BFA22" s="7"/>
      <c r="BFB22" s="8"/>
      <c r="BFF22" s="1"/>
      <c r="BFH22" s="8"/>
      <c r="BFK22" s="7"/>
      <c r="BFN22" s="7"/>
      <c r="BFP22" s="7"/>
      <c r="BFS22" s="7"/>
      <c r="BFT22" s="8"/>
      <c r="BFX22" s="1"/>
      <c r="BFZ22" s="8"/>
      <c r="BGC22" s="7"/>
      <c r="BGF22" s="7"/>
      <c r="BGH22" s="7"/>
      <c r="BGK22" s="7"/>
      <c r="BGL22" s="8"/>
      <c r="BGP22" s="1"/>
      <c r="BGR22" s="8"/>
      <c r="BGU22" s="7"/>
      <c r="BGX22" s="7"/>
      <c r="BGZ22" s="7"/>
      <c r="BHC22" s="7"/>
      <c r="BHD22" s="8"/>
      <c r="BHH22" s="1"/>
      <c r="BHJ22" s="8"/>
      <c r="BHM22" s="7"/>
      <c r="BHP22" s="7"/>
      <c r="BHR22" s="7"/>
      <c r="BHU22" s="7"/>
      <c r="BHV22" s="8"/>
      <c r="BHZ22" s="1"/>
      <c r="BIB22" s="8"/>
      <c r="BIE22" s="7"/>
      <c r="BIH22" s="7"/>
      <c r="BIJ22" s="7"/>
      <c r="BIM22" s="7"/>
      <c r="BIN22" s="8"/>
      <c r="BIR22" s="1"/>
      <c r="BIT22" s="8"/>
      <c r="BIW22" s="7"/>
      <c r="BIZ22" s="7"/>
      <c r="BJB22" s="7"/>
      <c r="BJE22" s="7"/>
      <c r="BJF22" s="8"/>
      <c r="BJJ22" s="1"/>
      <c r="BJL22" s="8"/>
      <c r="BJO22" s="7"/>
      <c r="BJR22" s="7"/>
      <c r="BJT22" s="7"/>
      <c r="BJW22" s="7"/>
      <c r="BJX22" s="8"/>
      <c r="BKB22" s="1"/>
      <c r="BKD22" s="8"/>
      <c r="BKG22" s="7"/>
      <c r="BKJ22" s="7"/>
      <c r="BKL22" s="7"/>
      <c r="BKO22" s="7"/>
      <c r="BKP22" s="8"/>
      <c r="BKT22" s="1"/>
      <c r="BKV22" s="8"/>
      <c r="BKY22" s="7"/>
      <c r="BLB22" s="7"/>
      <c r="BLD22" s="7"/>
      <c r="BLG22" s="7"/>
      <c r="BLH22" s="8"/>
      <c r="BLL22" s="1"/>
      <c r="BLN22" s="8"/>
      <c r="BLQ22" s="7"/>
      <c r="BLT22" s="7"/>
      <c r="BLV22" s="7"/>
      <c r="BLY22" s="7"/>
      <c r="BLZ22" s="8"/>
      <c r="BMD22" s="1"/>
      <c r="BMF22" s="8"/>
      <c r="BMI22" s="7"/>
      <c r="BML22" s="7"/>
      <c r="BMN22" s="7"/>
      <c r="BMQ22" s="7"/>
      <c r="BMR22" s="8"/>
      <c r="BMV22" s="1"/>
      <c r="BMX22" s="8"/>
      <c r="BNA22" s="7"/>
      <c r="BND22" s="7"/>
      <c r="BNF22" s="7"/>
      <c r="BNI22" s="7"/>
      <c r="BNJ22" s="8"/>
      <c r="BNN22" s="1"/>
      <c r="BNP22" s="8"/>
      <c r="BNS22" s="7"/>
      <c r="BNV22" s="7"/>
      <c r="BNX22" s="7"/>
      <c r="BOA22" s="7"/>
      <c r="BOB22" s="8"/>
      <c r="BOF22" s="1"/>
      <c r="BOH22" s="8"/>
      <c r="BOK22" s="7"/>
      <c r="BON22" s="7"/>
      <c r="BOP22" s="7"/>
      <c r="BOS22" s="7"/>
      <c r="BOT22" s="8"/>
      <c r="BOX22" s="1"/>
      <c r="BOZ22" s="8"/>
      <c r="BPC22" s="7"/>
      <c r="BPF22" s="7"/>
      <c r="BPH22" s="7"/>
      <c r="BPK22" s="7"/>
      <c r="BPL22" s="8"/>
      <c r="BPP22" s="1"/>
      <c r="BPR22" s="8"/>
      <c r="BPU22" s="7"/>
      <c r="BPX22" s="7"/>
      <c r="BPZ22" s="7"/>
      <c r="BQC22" s="7"/>
      <c r="BQD22" s="8"/>
      <c r="BQH22" s="1"/>
      <c r="BQJ22" s="8"/>
      <c r="BQM22" s="7"/>
      <c r="BQP22" s="7"/>
      <c r="BQR22" s="7"/>
      <c r="BQU22" s="7"/>
      <c r="BQV22" s="8"/>
      <c r="BQZ22" s="1"/>
      <c r="BRB22" s="8"/>
      <c r="BRE22" s="7"/>
      <c r="BRH22" s="7"/>
      <c r="BRJ22" s="7"/>
      <c r="BRM22" s="7"/>
      <c r="BRN22" s="8"/>
      <c r="BRR22" s="1"/>
      <c r="BRT22" s="8"/>
      <c r="BRW22" s="7"/>
      <c r="BRZ22" s="7"/>
      <c r="BSB22" s="7"/>
      <c r="BSE22" s="7"/>
      <c r="BSF22" s="8"/>
      <c r="BSJ22" s="1"/>
      <c r="BSL22" s="8"/>
      <c r="BSO22" s="7"/>
      <c r="BSR22" s="7"/>
      <c r="BST22" s="7"/>
      <c r="BSW22" s="7"/>
      <c r="BSX22" s="8"/>
      <c r="BTB22" s="1"/>
      <c r="BTD22" s="8"/>
      <c r="BTG22" s="7"/>
      <c r="BTJ22" s="7"/>
      <c r="BTL22" s="7"/>
      <c r="BTO22" s="7"/>
      <c r="BTP22" s="8"/>
      <c r="BTT22" s="1"/>
      <c r="BTV22" s="8"/>
      <c r="BTY22" s="7"/>
      <c r="BUB22" s="7"/>
      <c r="BUD22" s="7"/>
      <c r="BUG22" s="7"/>
      <c r="BUH22" s="8"/>
      <c r="BUL22" s="1"/>
      <c r="BUN22" s="8"/>
      <c r="BUQ22" s="7"/>
      <c r="BUT22" s="7"/>
      <c r="BUV22" s="7"/>
      <c r="BUY22" s="7"/>
      <c r="BUZ22" s="8"/>
      <c r="BVD22" s="1"/>
      <c r="BVF22" s="8"/>
      <c r="BVI22" s="7"/>
      <c r="BVL22" s="7"/>
      <c r="BVN22" s="7"/>
      <c r="BVQ22" s="7"/>
      <c r="BVR22" s="8"/>
      <c r="BVV22" s="1"/>
      <c r="BVX22" s="8"/>
      <c r="BWA22" s="7"/>
      <c r="BWD22" s="7"/>
      <c r="BWF22" s="7"/>
      <c r="BWI22" s="7"/>
      <c r="BWJ22" s="8"/>
      <c r="BWN22" s="1"/>
      <c r="BWP22" s="8"/>
      <c r="BWS22" s="7"/>
      <c r="BWV22" s="7"/>
      <c r="BWX22" s="7"/>
      <c r="BXA22" s="7"/>
      <c r="BXB22" s="8"/>
      <c r="BXF22" s="1"/>
      <c r="BXH22" s="8"/>
      <c r="BXK22" s="7"/>
      <c r="BXN22" s="7"/>
      <c r="BXP22" s="7"/>
      <c r="BXS22" s="7"/>
      <c r="BXT22" s="8"/>
      <c r="BXX22" s="1"/>
      <c r="BXZ22" s="8"/>
      <c r="BYC22" s="7"/>
      <c r="BYF22" s="7"/>
      <c r="BYH22" s="7"/>
      <c r="BYK22" s="7"/>
      <c r="BYL22" s="8"/>
      <c r="BYP22" s="1"/>
      <c r="BYR22" s="8"/>
      <c r="BYU22" s="7"/>
      <c r="BYX22" s="7"/>
      <c r="BYZ22" s="7"/>
      <c r="BZC22" s="7"/>
      <c r="BZD22" s="8"/>
      <c r="BZH22" s="1"/>
      <c r="BZJ22" s="8"/>
      <c r="BZM22" s="7"/>
      <c r="BZP22" s="7"/>
      <c r="BZR22" s="7"/>
      <c r="BZU22" s="7"/>
      <c r="BZV22" s="8"/>
      <c r="BZZ22" s="1"/>
      <c r="CAB22" s="8"/>
      <c r="CAE22" s="7"/>
      <c r="CAH22" s="7"/>
      <c r="CAJ22" s="7"/>
      <c r="CAM22" s="7"/>
      <c r="CAN22" s="8"/>
      <c r="CAR22" s="1"/>
      <c r="CAT22" s="8"/>
      <c r="CAW22" s="7"/>
      <c r="CAZ22" s="7"/>
      <c r="CBB22" s="7"/>
      <c r="CBE22" s="7"/>
      <c r="CBF22" s="8"/>
      <c r="CBJ22" s="1"/>
      <c r="CBL22" s="8"/>
      <c r="CBO22" s="7"/>
      <c r="CBR22" s="7"/>
      <c r="CBT22" s="7"/>
      <c r="CBW22" s="7"/>
      <c r="CBX22" s="8"/>
      <c r="CCB22" s="1"/>
      <c r="CCD22" s="8"/>
      <c r="CCG22" s="7"/>
      <c r="CCJ22" s="7"/>
      <c r="CCL22" s="7"/>
      <c r="CCO22" s="7"/>
      <c r="CCP22" s="8"/>
      <c r="CCT22" s="1"/>
      <c r="CCV22" s="8"/>
      <c r="CCY22" s="7"/>
      <c r="CDB22" s="7"/>
      <c r="CDD22" s="7"/>
      <c r="CDG22" s="7"/>
      <c r="CDH22" s="8"/>
      <c r="CDL22" s="1"/>
      <c r="CDN22" s="8"/>
      <c r="CDQ22" s="7"/>
      <c r="CDT22" s="7"/>
      <c r="CDV22" s="7"/>
      <c r="CDY22" s="7"/>
      <c r="CDZ22" s="8"/>
      <c r="CED22" s="1"/>
      <c r="CEF22" s="8"/>
      <c r="CEI22" s="7"/>
      <c r="CEL22" s="7"/>
      <c r="CEN22" s="7"/>
      <c r="CEQ22" s="7"/>
      <c r="CER22" s="8"/>
      <c r="CEV22" s="1"/>
      <c r="CEX22" s="8"/>
      <c r="CFA22" s="7"/>
      <c r="CFD22" s="7"/>
      <c r="CFF22" s="7"/>
      <c r="CFI22" s="7"/>
      <c r="CFJ22" s="8"/>
      <c r="CFN22" s="1"/>
      <c r="CFP22" s="8"/>
      <c r="CFS22" s="7"/>
      <c r="CFV22" s="7"/>
      <c r="CFX22" s="7"/>
      <c r="CGA22" s="7"/>
      <c r="CGB22" s="8"/>
      <c r="CGF22" s="1"/>
      <c r="CGH22" s="8"/>
      <c r="CGK22" s="7"/>
      <c r="CGN22" s="7"/>
      <c r="CGP22" s="7"/>
      <c r="CGS22" s="7"/>
      <c r="CGT22" s="8"/>
      <c r="CGX22" s="1"/>
      <c r="CGZ22" s="8"/>
      <c r="CHC22" s="7"/>
      <c r="CHF22" s="7"/>
      <c r="CHH22" s="7"/>
      <c r="CHK22" s="7"/>
      <c r="CHL22" s="8"/>
      <c r="CHP22" s="1"/>
      <c r="CHR22" s="8"/>
      <c r="CHU22" s="7"/>
      <c r="CHX22" s="7"/>
      <c r="CHZ22" s="7"/>
      <c r="CIC22" s="7"/>
      <c r="CID22" s="8"/>
      <c r="CIH22" s="1"/>
      <c r="CIJ22" s="8"/>
      <c r="CIM22" s="7"/>
      <c r="CIP22" s="7"/>
      <c r="CIR22" s="7"/>
      <c r="CIU22" s="7"/>
      <c r="CIV22" s="8"/>
      <c r="CIZ22" s="1"/>
      <c r="CJB22" s="8"/>
      <c r="CJE22" s="7"/>
      <c r="CJH22" s="7"/>
      <c r="CJJ22" s="7"/>
      <c r="CJM22" s="7"/>
      <c r="CJN22" s="8"/>
      <c r="CJR22" s="1"/>
      <c r="CJT22" s="8"/>
      <c r="CJW22" s="7"/>
      <c r="CJZ22" s="7"/>
      <c r="CKB22" s="7"/>
      <c r="CKE22" s="7"/>
      <c r="CKF22" s="8"/>
      <c r="CKJ22" s="1"/>
      <c r="CKL22" s="8"/>
      <c r="CKO22" s="7"/>
      <c r="CKR22" s="7"/>
      <c r="CKT22" s="7"/>
      <c r="CKW22" s="7"/>
      <c r="CKX22" s="8"/>
      <c r="CLB22" s="1"/>
      <c r="CLD22" s="8"/>
      <c r="CLG22" s="7"/>
      <c r="CLJ22" s="7"/>
      <c r="CLL22" s="7"/>
      <c r="CLO22" s="7"/>
      <c r="CLP22" s="8"/>
      <c r="CLT22" s="1"/>
      <c r="CLV22" s="8"/>
      <c r="CLY22" s="7"/>
      <c r="CMB22" s="7"/>
      <c r="CMD22" s="7"/>
      <c r="CMG22" s="7"/>
      <c r="CMH22" s="8"/>
      <c r="CML22" s="1"/>
      <c r="CMN22" s="8"/>
      <c r="CMQ22" s="7"/>
      <c r="CMT22" s="7"/>
      <c r="CMV22" s="7"/>
      <c r="CMY22" s="7"/>
      <c r="CMZ22" s="8"/>
      <c r="CND22" s="1"/>
      <c r="CNF22" s="8"/>
      <c r="CNI22" s="7"/>
      <c r="CNL22" s="7"/>
      <c r="CNN22" s="7"/>
      <c r="CNQ22" s="7"/>
      <c r="CNR22" s="8"/>
      <c r="CNV22" s="1"/>
      <c r="CNX22" s="8"/>
      <c r="COA22" s="7"/>
      <c r="COD22" s="7"/>
      <c r="COF22" s="7"/>
      <c r="COI22" s="7"/>
      <c r="COJ22" s="8"/>
      <c r="CON22" s="1"/>
      <c r="COP22" s="8"/>
      <c r="COS22" s="7"/>
      <c r="COV22" s="7"/>
      <c r="COX22" s="7"/>
      <c r="CPA22" s="7"/>
      <c r="CPB22" s="8"/>
      <c r="CPF22" s="1"/>
      <c r="CPH22" s="8"/>
      <c r="CPK22" s="7"/>
      <c r="CPN22" s="7"/>
      <c r="CPP22" s="7"/>
      <c r="CPS22" s="7"/>
      <c r="CPT22" s="8"/>
      <c r="CPX22" s="1"/>
      <c r="CPZ22" s="8"/>
      <c r="CQC22" s="7"/>
      <c r="CQF22" s="7"/>
      <c r="CQH22" s="7"/>
      <c r="CQK22" s="7"/>
      <c r="CQL22" s="8"/>
      <c r="CQP22" s="1"/>
      <c r="CQR22" s="8"/>
      <c r="CQU22" s="7"/>
      <c r="CQX22" s="7"/>
      <c r="CQZ22" s="7"/>
      <c r="CRC22" s="7"/>
      <c r="CRD22" s="8"/>
      <c r="CRH22" s="1"/>
      <c r="CRJ22" s="8"/>
      <c r="CRM22" s="7"/>
      <c r="CRP22" s="7"/>
      <c r="CRR22" s="7"/>
      <c r="CRU22" s="7"/>
      <c r="CRV22" s="8"/>
      <c r="CRZ22" s="1"/>
      <c r="CSB22" s="8"/>
      <c r="CSE22" s="7"/>
      <c r="CSH22" s="7"/>
      <c r="CSJ22" s="7"/>
      <c r="CSM22" s="7"/>
      <c r="CSN22" s="8"/>
      <c r="CSR22" s="1"/>
      <c r="CST22" s="8"/>
      <c r="CSW22" s="7"/>
      <c r="CSZ22" s="7"/>
      <c r="CTB22" s="7"/>
      <c r="CTE22" s="7"/>
      <c r="CTF22" s="8"/>
      <c r="CTJ22" s="1"/>
      <c r="CTL22" s="8"/>
      <c r="CTO22" s="7"/>
      <c r="CTR22" s="7"/>
      <c r="CTT22" s="7"/>
      <c r="CTW22" s="7"/>
      <c r="CTX22" s="8"/>
      <c r="CUB22" s="1"/>
      <c r="CUD22" s="8"/>
      <c r="CUG22" s="7"/>
      <c r="CUJ22" s="7"/>
      <c r="CUL22" s="7"/>
      <c r="CUO22" s="7"/>
      <c r="CUP22" s="8"/>
      <c r="CUT22" s="1"/>
      <c r="CUV22" s="8"/>
      <c r="CUY22" s="7"/>
      <c r="CVB22" s="7"/>
      <c r="CVD22" s="7"/>
      <c r="CVG22" s="7"/>
      <c r="CVH22" s="8"/>
      <c r="CVL22" s="1"/>
      <c r="CVN22" s="8"/>
      <c r="CVQ22" s="7"/>
      <c r="CVT22" s="7"/>
      <c r="CVV22" s="7"/>
      <c r="CVY22" s="7"/>
      <c r="CVZ22" s="8"/>
      <c r="CWD22" s="1"/>
      <c r="CWF22" s="8"/>
      <c r="CWI22" s="7"/>
      <c r="CWL22" s="7"/>
      <c r="CWN22" s="7"/>
      <c r="CWQ22" s="7"/>
      <c r="CWR22" s="8"/>
      <c r="CWV22" s="1"/>
      <c r="CWX22" s="8"/>
      <c r="CXA22" s="7"/>
      <c r="CXD22" s="7"/>
      <c r="CXF22" s="7"/>
      <c r="CXI22" s="7"/>
      <c r="CXJ22" s="8"/>
      <c r="CXN22" s="1"/>
      <c r="CXP22" s="8"/>
      <c r="CXS22" s="7"/>
      <c r="CXV22" s="7"/>
      <c r="CXX22" s="7"/>
      <c r="CYA22" s="7"/>
      <c r="CYB22" s="8"/>
      <c r="CYF22" s="1"/>
      <c r="CYH22" s="8"/>
      <c r="CYK22" s="7"/>
      <c r="CYN22" s="7"/>
      <c r="CYP22" s="7"/>
      <c r="CYS22" s="7"/>
      <c r="CYT22" s="8"/>
      <c r="CYX22" s="1"/>
      <c r="CYZ22" s="8"/>
      <c r="CZC22" s="7"/>
      <c r="CZF22" s="7"/>
      <c r="CZH22" s="7"/>
      <c r="CZK22" s="7"/>
      <c r="CZL22" s="8"/>
      <c r="CZP22" s="1"/>
      <c r="CZR22" s="8"/>
      <c r="CZU22" s="7"/>
      <c r="CZX22" s="7"/>
      <c r="CZZ22" s="7"/>
      <c r="DAC22" s="7"/>
      <c r="DAD22" s="8"/>
      <c r="DAH22" s="1"/>
      <c r="DAJ22" s="8"/>
      <c r="DAM22" s="7"/>
      <c r="DAP22" s="7"/>
      <c r="DAR22" s="7"/>
      <c r="DAU22" s="7"/>
      <c r="DAV22" s="8"/>
      <c r="DAZ22" s="1"/>
      <c r="DBB22" s="8"/>
      <c r="DBE22" s="7"/>
      <c r="DBH22" s="7"/>
      <c r="DBJ22" s="7"/>
      <c r="DBM22" s="7"/>
      <c r="DBN22" s="8"/>
      <c r="DBR22" s="1"/>
      <c r="DBT22" s="8"/>
      <c r="DBW22" s="7"/>
      <c r="DBZ22" s="7"/>
      <c r="DCB22" s="7"/>
      <c r="DCE22" s="7"/>
      <c r="DCF22" s="8"/>
      <c r="DCJ22" s="1"/>
      <c r="DCL22" s="8"/>
      <c r="DCO22" s="7"/>
      <c r="DCR22" s="7"/>
      <c r="DCT22" s="7"/>
      <c r="DCW22" s="7"/>
      <c r="DCX22" s="8"/>
      <c r="DDB22" s="1"/>
      <c r="DDD22" s="8"/>
      <c r="DDG22" s="7"/>
      <c r="DDJ22" s="7"/>
      <c r="DDL22" s="7"/>
      <c r="DDO22" s="7"/>
      <c r="DDP22" s="8"/>
      <c r="DDT22" s="1"/>
      <c r="DDV22" s="8"/>
      <c r="DDY22" s="7"/>
      <c r="DEB22" s="7"/>
      <c r="DED22" s="7"/>
      <c r="DEG22" s="7"/>
      <c r="DEH22" s="8"/>
      <c r="DEL22" s="1"/>
      <c r="DEN22" s="8"/>
      <c r="DEQ22" s="7"/>
      <c r="DET22" s="7"/>
      <c r="DEV22" s="7"/>
      <c r="DEY22" s="7"/>
      <c r="DEZ22" s="8"/>
      <c r="DFD22" s="1"/>
      <c r="DFF22" s="8"/>
      <c r="DFI22" s="7"/>
      <c r="DFL22" s="7"/>
      <c r="DFN22" s="7"/>
      <c r="DFQ22" s="7"/>
      <c r="DFR22" s="8"/>
      <c r="DFV22" s="1"/>
      <c r="DFX22" s="8"/>
      <c r="DGA22" s="7"/>
      <c r="DGD22" s="7"/>
      <c r="DGF22" s="7"/>
      <c r="DGI22" s="7"/>
      <c r="DGJ22" s="8"/>
      <c r="DGN22" s="1"/>
      <c r="DGP22" s="8"/>
      <c r="DGS22" s="7"/>
      <c r="DGV22" s="7"/>
      <c r="DGX22" s="7"/>
      <c r="DHA22" s="7"/>
      <c r="DHB22" s="8"/>
      <c r="DHF22" s="1"/>
      <c r="DHH22" s="8"/>
      <c r="DHK22" s="7"/>
      <c r="DHN22" s="7"/>
      <c r="DHP22" s="7"/>
      <c r="DHS22" s="7"/>
      <c r="DHT22" s="8"/>
      <c r="DHX22" s="1"/>
      <c r="DHZ22" s="8"/>
      <c r="DIC22" s="7"/>
      <c r="DIF22" s="7"/>
      <c r="DIH22" s="7"/>
      <c r="DIK22" s="7"/>
      <c r="DIL22" s="8"/>
      <c r="DIP22" s="1"/>
      <c r="DIR22" s="8"/>
      <c r="DIU22" s="7"/>
      <c r="DIX22" s="7"/>
      <c r="DIZ22" s="7"/>
      <c r="DJC22" s="7"/>
      <c r="DJD22" s="8"/>
      <c r="DJH22" s="1"/>
      <c r="DJJ22" s="8"/>
      <c r="DJM22" s="7"/>
      <c r="DJP22" s="7"/>
      <c r="DJR22" s="7"/>
      <c r="DJU22" s="7"/>
      <c r="DJV22" s="8"/>
      <c r="DJZ22" s="1"/>
      <c r="DKB22" s="8"/>
      <c r="DKE22" s="7"/>
      <c r="DKH22" s="7"/>
      <c r="DKJ22" s="7"/>
      <c r="DKM22" s="7"/>
      <c r="DKN22" s="8"/>
      <c r="DKR22" s="1"/>
      <c r="DKT22" s="8"/>
      <c r="DKW22" s="7"/>
      <c r="DKZ22" s="7"/>
      <c r="DLB22" s="7"/>
      <c r="DLE22" s="7"/>
      <c r="DLF22" s="8"/>
      <c r="DLJ22" s="1"/>
      <c r="DLL22" s="8"/>
      <c r="DLO22" s="7"/>
      <c r="DLR22" s="7"/>
      <c r="DLT22" s="7"/>
      <c r="DLW22" s="7"/>
      <c r="DLX22" s="8"/>
      <c r="DMB22" s="1"/>
      <c r="DMD22" s="8"/>
      <c r="DMG22" s="7"/>
      <c r="DMJ22" s="7"/>
      <c r="DML22" s="7"/>
      <c r="DMO22" s="7"/>
      <c r="DMP22" s="8"/>
      <c r="DMT22" s="1"/>
      <c r="DMV22" s="8"/>
      <c r="DMY22" s="7"/>
      <c r="DNB22" s="7"/>
      <c r="DND22" s="7"/>
      <c r="DNG22" s="7"/>
      <c r="DNH22" s="8"/>
      <c r="DNL22" s="1"/>
      <c r="DNN22" s="8"/>
      <c r="DNQ22" s="7"/>
      <c r="DNT22" s="7"/>
      <c r="DNV22" s="7"/>
      <c r="DNY22" s="7"/>
      <c r="DNZ22" s="8"/>
      <c r="DOD22" s="1"/>
      <c r="DOF22" s="8"/>
      <c r="DOI22" s="7"/>
      <c r="DOL22" s="7"/>
      <c r="DON22" s="7"/>
      <c r="DOQ22" s="7"/>
      <c r="DOR22" s="8"/>
      <c r="DOV22" s="1"/>
      <c r="DOX22" s="8"/>
      <c r="DPA22" s="7"/>
      <c r="DPD22" s="7"/>
      <c r="DPF22" s="7"/>
      <c r="DPI22" s="7"/>
      <c r="DPJ22" s="8"/>
      <c r="DPN22" s="1"/>
      <c r="DPP22" s="8"/>
      <c r="DPS22" s="7"/>
      <c r="DPV22" s="7"/>
      <c r="DPX22" s="7"/>
      <c r="DQA22" s="7"/>
      <c r="DQB22" s="8"/>
      <c r="DQF22" s="1"/>
      <c r="DQH22" s="8"/>
      <c r="DQK22" s="7"/>
      <c r="DQN22" s="7"/>
      <c r="DQP22" s="7"/>
      <c r="DQS22" s="7"/>
      <c r="DQT22" s="8"/>
      <c r="DQX22" s="1"/>
      <c r="DQZ22" s="8"/>
      <c r="DRC22" s="7"/>
      <c r="DRF22" s="7"/>
      <c r="DRH22" s="7"/>
      <c r="DRK22" s="7"/>
      <c r="DRL22" s="8"/>
      <c r="DRP22" s="1"/>
      <c r="DRR22" s="8"/>
      <c r="DRU22" s="7"/>
      <c r="DRX22" s="7"/>
      <c r="DRZ22" s="7"/>
      <c r="DSC22" s="7"/>
      <c r="DSD22" s="8"/>
      <c r="DSH22" s="1"/>
      <c r="DSJ22" s="8"/>
      <c r="DSM22" s="7"/>
      <c r="DSP22" s="7"/>
      <c r="DSR22" s="7"/>
      <c r="DSU22" s="7"/>
      <c r="DSV22" s="8"/>
      <c r="DSZ22" s="1"/>
      <c r="DTB22" s="8"/>
      <c r="DTE22" s="7"/>
      <c r="DTH22" s="7"/>
      <c r="DTJ22" s="7"/>
      <c r="DTM22" s="7"/>
      <c r="DTN22" s="8"/>
      <c r="DTR22" s="1"/>
      <c r="DTT22" s="8"/>
      <c r="DTW22" s="7"/>
      <c r="DTZ22" s="7"/>
      <c r="DUB22" s="7"/>
      <c r="DUE22" s="7"/>
      <c r="DUF22" s="8"/>
      <c r="DUJ22" s="1"/>
      <c r="DUL22" s="8"/>
      <c r="DUO22" s="7"/>
      <c r="DUR22" s="7"/>
      <c r="DUT22" s="7"/>
      <c r="DUW22" s="7"/>
      <c r="DUX22" s="8"/>
      <c r="DVB22" s="1"/>
      <c r="DVD22" s="8"/>
      <c r="DVG22" s="7"/>
      <c r="DVJ22" s="7"/>
      <c r="DVL22" s="7"/>
      <c r="DVO22" s="7"/>
      <c r="DVP22" s="8"/>
      <c r="DVT22" s="1"/>
      <c r="DVV22" s="8"/>
      <c r="DVY22" s="7"/>
      <c r="DWB22" s="7"/>
      <c r="DWD22" s="7"/>
      <c r="DWG22" s="7"/>
      <c r="DWH22" s="8"/>
      <c r="DWL22" s="1"/>
      <c r="DWN22" s="8"/>
      <c r="DWQ22" s="7"/>
      <c r="DWT22" s="7"/>
      <c r="DWV22" s="7"/>
      <c r="DWY22" s="7"/>
      <c r="DWZ22" s="8"/>
      <c r="DXD22" s="1"/>
      <c r="DXF22" s="8"/>
      <c r="DXI22" s="7"/>
      <c r="DXL22" s="7"/>
      <c r="DXN22" s="7"/>
      <c r="DXQ22" s="7"/>
      <c r="DXR22" s="8"/>
      <c r="DXV22" s="1"/>
      <c r="DXX22" s="8"/>
      <c r="DYA22" s="7"/>
      <c r="DYD22" s="7"/>
      <c r="DYF22" s="7"/>
      <c r="DYI22" s="7"/>
      <c r="DYJ22" s="8"/>
      <c r="DYN22" s="1"/>
      <c r="DYP22" s="8"/>
      <c r="DYS22" s="7"/>
      <c r="DYV22" s="7"/>
      <c r="DYX22" s="7"/>
      <c r="DZA22" s="7"/>
      <c r="DZB22" s="8"/>
      <c r="DZF22" s="1"/>
      <c r="DZH22" s="8"/>
      <c r="DZK22" s="7"/>
      <c r="DZN22" s="7"/>
      <c r="DZP22" s="7"/>
      <c r="DZS22" s="7"/>
      <c r="DZT22" s="8"/>
      <c r="DZX22" s="1"/>
      <c r="DZZ22" s="8"/>
      <c r="EAC22" s="7"/>
      <c r="EAF22" s="7"/>
      <c r="EAH22" s="7"/>
      <c r="EAK22" s="7"/>
      <c r="EAL22" s="8"/>
      <c r="EAP22" s="1"/>
      <c r="EAR22" s="8"/>
      <c r="EAU22" s="7"/>
      <c r="EAX22" s="7"/>
      <c r="EAZ22" s="7"/>
      <c r="EBC22" s="7"/>
      <c r="EBD22" s="8"/>
      <c r="EBH22" s="1"/>
      <c r="EBJ22" s="8"/>
      <c r="EBM22" s="7"/>
      <c r="EBP22" s="7"/>
      <c r="EBR22" s="7"/>
      <c r="EBU22" s="7"/>
      <c r="EBV22" s="8"/>
      <c r="EBZ22" s="1"/>
      <c r="ECB22" s="8"/>
      <c r="ECE22" s="7"/>
      <c r="ECH22" s="7"/>
      <c r="ECJ22" s="7"/>
      <c r="ECM22" s="7"/>
      <c r="ECN22" s="8"/>
      <c r="ECR22" s="1"/>
      <c r="ECT22" s="8"/>
      <c r="ECW22" s="7"/>
      <c r="ECZ22" s="7"/>
      <c r="EDB22" s="7"/>
      <c r="EDE22" s="7"/>
      <c r="EDF22" s="8"/>
      <c r="EDJ22" s="1"/>
      <c r="EDL22" s="8"/>
      <c r="EDO22" s="7"/>
      <c r="EDR22" s="7"/>
      <c r="EDT22" s="7"/>
      <c r="EDW22" s="7"/>
      <c r="EDX22" s="8"/>
      <c r="EEB22" s="1"/>
      <c r="EED22" s="8"/>
      <c r="EEG22" s="7"/>
      <c r="EEJ22" s="7"/>
      <c r="EEL22" s="7"/>
      <c r="EEO22" s="7"/>
      <c r="EEP22" s="8"/>
      <c r="EET22" s="1"/>
      <c r="EEV22" s="8"/>
      <c r="EEY22" s="7"/>
      <c r="EFB22" s="7"/>
      <c r="EFD22" s="7"/>
      <c r="EFG22" s="7"/>
      <c r="EFH22" s="8"/>
      <c r="EFL22" s="1"/>
      <c r="EFN22" s="8"/>
      <c r="EFQ22" s="7"/>
      <c r="EFT22" s="7"/>
      <c r="EFV22" s="7"/>
      <c r="EFY22" s="7"/>
      <c r="EFZ22" s="8"/>
      <c r="EGD22" s="1"/>
      <c r="EGF22" s="8"/>
      <c r="EGI22" s="7"/>
      <c r="EGL22" s="7"/>
      <c r="EGN22" s="7"/>
      <c r="EGQ22" s="7"/>
      <c r="EGR22" s="8"/>
      <c r="EGV22" s="1"/>
      <c r="EGX22" s="8"/>
      <c r="EHA22" s="7"/>
      <c r="EHD22" s="7"/>
      <c r="EHF22" s="7"/>
      <c r="EHI22" s="7"/>
      <c r="EHJ22" s="8"/>
      <c r="EHN22" s="1"/>
      <c r="EHP22" s="8"/>
      <c r="EHS22" s="7"/>
      <c r="EHV22" s="7"/>
      <c r="EHX22" s="7"/>
      <c r="EIA22" s="7"/>
      <c r="EIB22" s="8"/>
      <c r="EIF22" s="1"/>
      <c r="EIH22" s="8"/>
      <c r="EIK22" s="7"/>
      <c r="EIN22" s="7"/>
      <c r="EIP22" s="7"/>
      <c r="EIS22" s="7"/>
      <c r="EIT22" s="8"/>
      <c r="EIX22" s="1"/>
      <c r="EIZ22" s="8"/>
      <c r="EJC22" s="7"/>
      <c r="EJF22" s="7"/>
      <c r="EJH22" s="7"/>
      <c r="EJK22" s="7"/>
      <c r="EJL22" s="8"/>
      <c r="EJP22" s="1"/>
      <c r="EJR22" s="8"/>
      <c r="EJU22" s="7"/>
      <c r="EJX22" s="7"/>
      <c r="EJZ22" s="7"/>
      <c r="EKC22" s="7"/>
      <c r="EKD22" s="8"/>
      <c r="EKH22" s="1"/>
      <c r="EKJ22" s="8"/>
      <c r="EKM22" s="7"/>
      <c r="EKP22" s="7"/>
      <c r="EKR22" s="7"/>
      <c r="EKU22" s="7"/>
      <c r="EKV22" s="8"/>
      <c r="EKZ22" s="1"/>
      <c r="ELB22" s="8"/>
      <c r="ELE22" s="7"/>
      <c r="ELH22" s="7"/>
      <c r="ELJ22" s="7"/>
      <c r="ELM22" s="7"/>
      <c r="ELN22" s="8"/>
      <c r="ELR22" s="1"/>
      <c r="ELT22" s="8"/>
      <c r="ELW22" s="7"/>
      <c r="ELZ22" s="7"/>
      <c r="EMB22" s="7"/>
      <c r="EME22" s="7"/>
      <c r="EMF22" s="8"/>
      <c r="EMJ22" s="1"/>
      <c r="EML22" s="8"/>
      <c r="EMO22" s="7"/>
      <c r="EMR22" s="7"/>
      <c r="EMT22" s="7"/>
      <c r="EMW22" s="7"/>
      <c r="EMX22" s="8"/>
      <c r="ENB22" s="1"/>
      <c r="END22" s="8"/>
      <c r="ENG22" s="7"/>
      <c r="ENJ22" s="7"/>
      <c r="ENL22" s="7"/>
      <c r="ENO22" s="7"/>
      <c r="ENP22" s="8"/>
      <c r="ENT22" s="1"/>
      <c r="ENV22" s="8"/>
      <c r="ENY22" s="7"/>
      <c r="EOB22" s="7"/>
      <c r="EOD22" s="7"/>
      <c r="EOG22" s="7"/>
      <c r="EOH22" s="8"/>
      <c r="EOL22" s="1"/>
      <c r="EON22" s="8"/>
      <c r="EOQ22" s="7"/>
      <c r="EOT22" s="7"/>
      <c r="EOV22" s="7"/>
      <c r="EOY22" s="7"/>
      <c r="EOZ22" s="8"/>
      <c r="EPD22" s="1"/>
      <c r="EPF22" s="8"/>
      <c r="EPI22" s="7"/>
      <c r="EPL22" s="7"/>
      <c r="EPN22" s="7"/>
      <c r="EPQ22" s="7"/>
      <c r="EPR22" s="8"/>
      <c r="EPV22" s="1"/>
      <c r="EPX22" s="8"/>
      <c r="EQA22" s="7"/>
      <c r="EQD22" s="7"/>
      <c r="EQF22" s="7"/>
      <c r="EQI22" s="7"/>
      <c r="EQJ22" s="8"/>
      <c r="EQN22" s="1"/>
      <c r="EQP22" s="8"/>
      <c r="EQS22" s="7"/>
      <c r="EQV22" s="7"/>
      <c r="EQX22" s="7"/>
      <c r="ERA22" s="7"/>
      <c r="ERB22" s="8"/>
      <c r="ERF22" s="1"/>
      <c r="ERH22" s="8"/>
      <c r="ERK22" s="7"/>
      <c r="ERN22" s="7"/>
      <c r="ERP22" s="7"/>
      <c r="ERS22" s="7"/>
      <c r="ERT22" s="8"/>
      <c r="ERX22" s="1"/>
      <c r="ERZ22" s="8"/>
      <c r="ESC22" s="7"/>
      <c r="ESF22" s="7"/>
      <c r="ESH22" s="7"/>
      <c r="ESK22" s="7"/>
      <c r="ESL22" s="8"/>
      <c r="ESP22" s="1"/>
      <c r="ESR22" s="8"/>
      <c r="ESU22" s="7"/>
      <c r="ESX22" s="7"/>
      <c r="ESZ22" s="7"/>
      <c r="ETC22" s="7"/>
      <c r="ETD22" s="8"/>
      <c r="ETH22" s="1"/>
      <c r="ETJ22" s="8"/>
      <c r="ETM22" s="7"/>
      <c r="ETP22" s="7"/>
      <c r="ETR22" s="7"/>
      <c r="ETU22" s="7"/>
      <c r="ETV22" s="8"/>
      <c r="ETZ22" s="1"/>
      <c r="EUB22" s="8"/>
      <c r="EUE22" s="7"/>
      <c r="EUH22" s="7"/>
      <c r="EUJ22" s="7"/>
      <c r="EUM22" s="7"/>
      <c r="EUN22" s="8"/>
      <c r="EUR22" s="1"/>
      <c r="EUT22" s="8"/>
      <c r="EUW22" s="7"/>
      <c r="EUZ22" s="7"/>
      <c r="EVB22" s="7"/>
      <c r="EVE22" s="7"/>
      <c r="EVF22" s="8"/>
      <c r="EVJ22" s="1"/>
      <c r="EVL22" s="8"/>
      <c r="EVO22" s="7"/>
      <c r="EVR22" s="7"/>
      <c r="EVT22" s="7"/>
      <c r="EVW22" s="7"/>
      <c r="EVX22" s="8"/>
      <c r="EWB22" s="1"/>
      <c r="EWD22" s="8"/>
      <c r="EWG22" s="7"/>
      <c r="EWJ22" s="7"/>
      <c r="EWL22" s="7"/>
      <c r="EWO22" s="7"/>
      <c r="EWP22" s="8"/>
      <c r="EWT22" s="1"/>
      <c r="EWV22" s="8"/>
      <c r="EWY22" s="7"/>
      <c r="EXB22" s="7"/>
      <c r="EXD22" s="7"/>
      <c r="EXG22" s="7"/>
      <c r="EXH22" s="8"/>
      <c r="EXL22" s="1"/>
      <c r="EXN22" s="8"/>
      <c r="EXQ22" s="7"/>
      <c r="EXT22" s="7"/>
      <c r="EXV22" s="7"/>
      <c r="EXY22" s="7"/>
      <c r="EXZ22" s="8"/>
      <c r="EYD22" s="1"/>
      <c r="EYF22" s="8"/>
      <c r="EYI22" s="7"/>
      <c r="EYL22" s="7"/>
      <c r="EYN22" s="7"/>
      <c r="EYQ22" s="7"/>
      <c r="EYR22" s="8"/>
      <c r="EYV22" s="1"/>
      <c r="EYX22" s="8"/>
      <c r="EZA22" s="7"/>
      <c r="EZD22" s="7"/>
      <c r="EZF22" s="7"/>
      <c r="EZI22" s="7"/>
      <c r="EZJ22" s="8"/>
      <c r="EZN22" s="1"/>
      <c r="EZP22" s="8"/>
      <c r="EZS22" s="7"/>
      <c r="EZV22" s="7"/>
      <c r="EZX22" s="7"/>
      <c r="FAA22" s="7"/>
      <c r="FAB22" s="8"/>
      <c r="FAF22" s="1"/>
      <c r="FAH22" s="8"/>
      <c r="FAK22" s="7"/>
      <c r="FAN22" s="7"/>
      <c r="FAP22" s="7"/>
      <c r="FAS22" s="7"/>
      <c r="FAT22" s="8"/>
      <c r="FAX22" s="1"/>
      <c r="FAZ22" s="8"/>
      <c r="FBC22" s="7"/>
      <c r="FBF22" s="7"/>
      <c r="FBH22" s="7"/>
      <c r="FBK22" s="7"/>
      <c r="FBL22" s="8"/>
      <c r="FBP22" s="1"/>
      <c r="FBR22" s="8"/>
      <c r="FBU22" s="7"/>
      <c r="FBX22" s="7"/>
      <c r="FBZ22" s="7"/>
      <c r="FCC22" s="7"/>
      <c r="FCD22" s="8"/>
      <c r="FCH22" s="1"/>
      <c r="FCJ22" s="8"/>
      <c r="FCM22" s="7"/>
      <c r="FCP22" s="7"/>
      <c r="FCR22" s="7"/>
      <c r="FCU22" s="7"/>
      <c r="FCV22" s="8"/>
      <c r="FCZ22" s="1"/>
      <c r="FDB22" s="8"/>
      <c r="FDE22" s="7"/>
      <c r="FDH22" s="7"/>
      <c r="FDJ22" s="7"/>
      <c r="FDM22" s="7"/>
      <c r="FDN22" s="8"/>
      <c r="FDR22" s="1"/>
      <c r="FDT22" s="8"/>
      <c r="FDW22" s="7"/>
      <c r="FDZ22" s="7"/>
      <c r="FEB22" s="7"/>
      <c r="FEE22" s="7"/>
      <c r="FEF22" s="8"/>
      <c r="FEJ22" s="1"/>
      <c r="FEL22" s="8"/>
      <c r="FEO22" s="7"/>
      <c r="FER22" s="7"/>
      <c r="FET22" s="7"/>
      <c r="FEW22" s="7"/>
      <c r="FEX22" s="8"/>
      <c r="FFB22" s="1"/>
      <c r="FFD22" s="8"/>
      <c r="FFG22" s="7"/>
      <c r="FFJ22" s="7"/>
      <c r="FFL22" s="7"/>
      <c r="FFO22" s="7"/>
      <c r="FFP22" s="8"/>
      <c r="FFT22" s="1"/>
      <c r="FFV22" s="8"/>
      <c r="FFY22" s="7"/>
      <c r="FGB22" s="7"/>
      <c r="FGD22" s="7"/>
      <c r="FGG22" s="7"/>
      <c r="FGH22" s="8"/>
      <c r="FGL22" s="1"/>
      <c r="FGN22" s="8"/>
      <c r="FGQ22" s="7"/>
      <c r="FGT22" s="7"/>
      <c r="FGV22" s="7"/>
      <c r="FGY22" s="7"/>
      <c r="FGZ22" s="8"/>
      <c r="FHD22" s="1"/>
      <c r="FHF22" s="8"/>
      <c r="FHI22" s="7"/>
      <c r="FHL22" s="7"/>
      <c r="FHN22" s="7"/>
      <c r="FHQ22" s="7"/>
      <c r="FHR22" s="8"/>
      <c r="FHV22" s="1"/>
      <c r="FHX22" s="8"/>
      <c r="FIA22" s="7"/>
      <c r="FID22" s="7"/>
      <c r="FIF22" s="7"/>
      <c r="FII22" s="7"/>
      <c r="FIJ22" s="8"/>
      <c r="FIN22" s="1"/>
      <c r="FIP22" s="8"/>
      <c r="FIS22" s="7"/>
      <c r="FIV22" s="7"/>
      <c r="FIX22" s="7"/>
      <c r="FJA22" s="7"/>
      <c r="FJB22" s="8"/>
      <c r="FJF22" s="1"/>
      <c r="FJH22" s="8"/>
      <c r="FJK22" s="7"/>
      <c r="FJN22" s="7"/>
      <c r="FJP22" s="7"/>
      <c r="FJS22" s="7"/>
      <c r="FJT22" s="8"/>
      <c r="FJX22" s="1"/>
      <c r="FJZ22" s="8"/>
      <c r="FKC22" s="7"/>
      <c r="FKF22" s="7"/>
      <c r="FKH22" s="7"/>
      <c r="FKK22" s="7"/>
      <c r="FKL22" s="8"/>
      <c r="FKP22" s="1"/>
      <c r="FKR22" s="8"/>
      <c r="FKU22" s="7"/>
      <c r="FKX22" s="7"/>
      <c r="FKZ22" s="7"/>
      <c r="FLC22" s="7"/>
      <c r="FLD22" s="8"/>
      <c r="FLH22" s="1"/>
      <c r="FLJ22" s="8"/>
      <c r="FLM22" s="7"/>
      <c r="FLP22" s="7"/>
      <c r="FLR22" s="7"/>
      <c r="FLU22" s="7"/>
      <c r="FLV22" s="8"/>
      <c r="FLZ22" s="1"/>
      <c r="FMB22" s="8"/>
      <c r="FME22" s="7"/>
      <c r="FMH22" s="7"/>
      <c r="FMJ22" s="7"/>
      <c r="FMM22" s="7"/>
      <c r="FMN22" s="8"/>
      <c r="FMR22" s="1"/>
      <c r="FMT22" s="8"/>
      <c r="FMW22" s="7"/>
      <c r="FMZ22" s="7"/>
      <c r="FNB22" s="7"/>
      <c r="FNE22" s="7"/>
      <c r="FNF22" s="8"/>
      <c r="FNJ22" s="1"/>
      <c r="FNL22" s="8"/>
      <c r="FNO22" s="7"/>
      <c r="FNR22" s="7"/>
      <c r="FNT22" s="7"/>
      <c r="FNW22" s="7"/>
      <c r="FNX22" s="8"/>
      <c r="FOB22" s="1"/>
      <c r="FOD22" s="8"/>
      <c r="FOG22" s="7"/>
      <c r="FOJ22" s="7"/>
      <c r="FOL22" s="7"/>
      <c r="FOO22" s="7"/>
      <c r="FOP22" s="8"/>
      <c r="FOT22" s="1"/>
      <c r="FOV22" s="8"/>
      <c r="FOY22" s="7"/>
      <c r="FPB22" s="7"/>
      <c r="FPD22" s="7"/>
      <c r="FPG22" s="7"/>
      <c r="FPH22" s="8"/>
      <c r="FPL22" s="1"/>
      <c r="FPN22" s="8"/>
      <c r="FPQ22" s="7"/>
      <c r="FPT22" s="7"/>
      <c r="FPV22" s="7"/>
      <c r="FPY22" s="7"/>
      <c r="FPZ22" s="8"/>
      <c r="FQD22" s="1"/>
      <c r="FQF22" s="8"/>
      <c r="FQI22" s="7"/>
      <c r="FQL22" s="7"/>
      <c r="FQN22" s="7"/>
      <c r="FQQ22" s="7"/>
      <c r="FQR22" s="8"/>
      <c r="FQV22" s="1"/>
      <c r="FQX22" s="8"/>
      <c r="FRA22" s="7"/>
      <c r="FRD22" s="7"/>
      <c r="FRF22" s="7"/>
      <c r="FRI22" s="7"/>
      <c r="FRJ22" s="8"/>
      <c r="FRN22" s="1"/>
      <c r="FRP22" s="8"/>
      <c r="FRS22" s="7"/>
      <c r="FRV22" s="7"/>
      <c r="FRX22" s="7"/>
      <c r="FSA22" s="7"/>
      <c r="FSB22" s="8"/>
      <c r="FSF22" s="1"/>
      <c r="FSH22" s="8"/>
      <c r="FSK22" s="7"/>
      <c r="FSN22" s="7"/>
      <c r="FSP22" s="7"/>
      <c r="FSS22" s="7"/>
      <c r="FST22" s="8"/>
      <c r="FSX22" s="1"/>
      <c r="FSZ22" s="8"/>
      <c r="FTC22" s="7"/>
      <c r="FTF22" s="7"/>
      <c r="FTH22" s="7"/>
      <c r="FTK22" s="7"/>
      <c r="FTL22" s="8"/>
      <c r="FTP22" s="1"/>
      <c r="FTR22" s="8"/>
      <c r="FTU22" s="7"/>
      <c r="FTX22" s="7"/>
      <c r="FTZ22" s="7"/>
      <c r="FUC22" s="7"/>
      <c r="FUD22" s="8"/>
      <c r="FUH22" s="1"/>
      <c r="FUJ22" s="8"/>
      <c r="FUM22" s="7"/>
      <c r="FUP22" s="7"/>
      <c r="FUR22" s="7"/>
      <c r="FUU22" s="7"/>
      <c r="FUV22" s="8"/>
      <c r="FUZ22" s="1"/>
      <c r="FVB22" s="8"/>
      <c r="FVE22" s="7"/>
      <c r="FVH22" s="7"/>
      <c r="FVJ22" s="7"/>
      <c r="FVM22" s="7"/>
      <c r="FVN22" s="8"/>
      <c r="FVR22" s="1"/>
      <c r="FVT22" s="8"/>
      <c r="FVW22" s="7"/>
      <c r="FVZ22" s="7"/>
      <c r="FWB22" s="7"/>
      <c r="FWE22" s="7"/>
      <c r="FWF22" s="8"/>
      <c r="FWJ22" s="1"/>
      <c r="FWL22" s="8"/>
      <c r="FWO22" s="7"/>
      <c r="FWR22" s="7"/>
      <c r="FWT22" s="7"/>
      <c r="FWW22" s="7"/>
      <c r="FWX22" s="8"/>
      <c r="FXB22" s="1"/>
      <c r="FXD22" s="8"/>
      <c r="FXG22" s="7"/>
      <c r="FXJ22" s="7"/>
      <c r="FXL22" s="7"/>
      <c r="FXO22" s="7"/>
      <c r="FXP22" s="8"/>
      <c r="FXT22" s="1"/>
      <c r="FXV22" s="8"/>
      <c r="FXY22" s="7"/>
      <c r="FYB22" s="7"/>
      <c r="FYD22" s="7"/>
      <c r="FYG22" s="7"/>
      <c r="FYH22" s="8"/>
      <c r="FYL22" s="1"/>
      <c r="FYN22" s="8"/>
      <c r="FYQ22" s="7"/>
      <c r="FYT22" s="7"/>
      <c r="FYV22" s="7"/>
      <c r="FYY22" s="7"/>
      <c r="FYZ22" s="8"/>
      <c r="FZD22" s="1"/>
      <c r="FZF22" s="8"/>
      <c r="FZI22" s="7"/>
      <c r="FZL22" s="7"/>
      <c r="FZN22" s="7"/>
      <c r="FZQ22" s="7"/>
      <c r="FZR22" s="8"/>
      <c r="FZV22" s="1"/>
      <c r="FZX22" s="8"/>
      <c r="GAA22" s="7"/>
      <c r="GAD22" s="7"/>
      <c r="GAF22" s="7"/>
      <c r="GAI22" s="7"/>
      <c r="GAJ22" s="8"/>
      <c r="GAN22" s="1"/>
      <c r="GAP22" s="8"/>
      <c r="GAS22" s="7"/>
      <c r="GAV22" s="7"/>
      <c r="GAX22" s="7"/>
      <c r="GBA22" s="7"/>
      <c r="GBB22" s="8"/>
      <c r="GBF22" s="1"/>
      <c r="GBH22" s="8"/>
      <c r="GBK22" s="7"/>
      <c r="GBN22" s="7"/>
      <c r="GBP22" s="7"/>
      <c r="GBS22" s="7"/>
      <c r="GBT22" s="8"/>
      <c r="GBX22" s="1"/>
      <c r="GBZ22" s="8"/>
      <c r="GCC22" s="7"/>
      <c r="GCF22" s="7"/>
      <c r="GCH22" s="7"/>
      <c r="GCK22" s="7"/>
      <c r="GCL22" s="8"/>
      <c r="GCP22" s="1"/>
      <c r="GCR22" s="8"/>
      <c r="GCU22" s="7"/>
      <c r="GCX22" s="7"/>
      <c r="GCZ22" s="7"/>
      <c r="GDC22" s="7"/>
      <c r="GDD22" s="8"/>
      <c r="GDH22" s="1"/>
      <c r="GDJ22" s="8"/>
      <c r="GDM22" s="7"/>
      <c r="GDP22" s="7"/>
      <c r="GDR22" s="7"/>
      <c r="GDU22" s="7"/>
      <c r="GDV22" s="8"/>
      <c r="GDZ22" s="1"/>
      <c r="GEB22" s="8"/>
      <c r="GEE22" s="7"/>
      <c r="GEH22" s="7"/>
      <c r="GEJ22" s="7"/>
      <c r="GEM22" s="7"/>
      <c r="GEN22" s="8"/>
      <c r="GER22" s="1"/>
      <c r="GET22" s="8"/>
      <c r="GEW22" s="7"/>
      <c r="GEZ22" s="7"/>
      <c r="GFB22" s="7"/>
      <c r="GFE22" s="7"/>
      <c r="GFF22" s="8"/>
      <c r="GFJ22" s="1"/>
      <c r="GFL22" s="8"/>
      <c r="GFO22" s="7"/>
      <c r="GFR22" s="7"/>
      <c r="GFT22" s="7"/>
      <c r="GFW22" s="7"/>
      <c r="GFX22" s="8"/>
      <c r="GGB22" s="1"/>
      <c r="GGD22" s="8"/>
      <c r="GGG22" s="7"/>
      <c r="GGJ22" s="7"/>
      <c r="GGL22" s="7"/>
      <c r="GGO22" s="7"/>
      <c r="GGP22" s="8"/>
      <c r="GGT22" s="1"/>
      <c r="GGV22" s="8"/>
      <c r="GGY22" s="7"/>
      <c r="GHB22" s="7"/>
      <c r="GHD22" s="7"/>
      <c r="GHG22" s="7"/>
      <c r="GHH22" s="8"/>
      <c r="GHL22" s="1"/>
      <c r="GHN22" s="8"/>
      <c r="GHQ22" s="7"/>
      <c r="GHT22" s="7"/>
      <c r="GHV22" s="7"/>
      <c r="GHY22" s="7"/>
      <c r="GHZ22" s="8"/>
      <c r="GID22" s="1"/>
      <c r="GIF22" s="8"/>
      <c r="GII22" s="7"/>
      <c r="GIL22" s="7"/>
      <c r="GIN22" s="7"/>
      <c r="GIQ22" s="7"/>
      <c r="GIR22" s="8"/>
      <c r="GIV22" s="1"/>
      <c r="GIX22" s="8"/>
      <c r="GJA22" s="7"/>
      <c r="GJD22" s="7"/>
      <c r="GJF22" s="7"/>
      <c r="GJI22" s="7"/>
      <c r="GJJ22" s="8"/>
      <c r="GJN22" s="1"/>
      <c r="GJP22" s="8"/>
      <c r="GJS22" s="7"/>
      <c r="GJV22" s="7"/>
      <c r="GJX22" s="7"/>
      <c r="GKA22" s="7"/>
      <c r="GKB22" s="8"/>
      <c r="GKF22" s="1"/>
      <c r="GKH22" s="8"/>
      <c r="GKK22" s="7"/>
      <c r="GKN22" s="7"/>
      <c r="GKP22" s="7"/>
      <c r="GKS22" s="7"/>
      <c r="GKT22" s="8"/>
      <c r="GKX22" s="1"/>
      <c r="GKZ22" s="8"/>
      <c r="GLC22" s="7"/>
      <c r="GLF22" s="7"/>
      <c r="GLH22" s="7"/>
      <c r="GLK22" s="7"/>
      <c r="GLL22" s="8"/>
      <c r="GLP22" s="1"/>
      <c r="GLR22" s="8"/>
      <c r="GLU22" s="7"/>
      <c r="GLX22" s="7"/>
      <c r="GLZ22" s="7"/>
      <c r="GMC22" s="7"/>
      <c r="GMD22" s="8"/>
      <c r="GMH22" s="1"/>
      <c r="GMJ22" s="8"/>
      <c r="GMM22" s="7"/>
      <c r="GMP22" s="7"/>
      <c r="GMR22" s="7"/>
      <c r="GMU22" s="7"/>
      <c r="GMV22" s="8"/>
      <c r="GMZ22" s="1"/>
      <c r="GNB22" s="8"/>
      <c r="GNE22" s="7"/>
      <c r="GNH22" s="7"/>
      <c r="GNJ22" s="7"/>
      <c r="GNM22" s="7"/>
      <c r="GNN22" s="8"/>
      <c r="GNR22" s="1"/>
      <c r="GNT22" s="8"/>
      <c r="GNW22" s="7"/>
      <c r="GNZ22" s="7"/>
      <c r="GOB22" s="7"/>
      <c r="GOE22" s="7"/>
      <c r="GOF22" s="8"/>
      <c r="GOJ22" s="1"/>
      <c r="GOL22" s="8"/>
      <c r="GOO22" s="7"/>
      <c r="GOR22" s="7"/>
      <c r="GOT22" s="7"/>
      <c r="GOW22" s="7"/>
      <c r="GOX22" s="8"/>
      <c r="GPB22" s="1"/>
      <c r="GPD22" s="8"/>
      <c r="GPG22" s="7"/>
      <c r="GPJ22" s="7"/>
      <c r="GPL22" s="7"/>
      <c r="GPO22" s="7"/>
      <c r="GPP22" s="8"/>
      <c r="GPT22" s="1"/>
      <c r="GPV22" s="8"/>
      <c r="GPY22" s="7"/>
      <c r="GQB22" s="7"/>
      <c r="GQD22" s="7"/>
      <c r="GQG22" s="7"/>
      <c r="GQH22" s="8"/>
      <c r="GQL22" s="1"/>
      <c r="GQN22" s="8"/>
      <c r="GQQ22" s="7"/>
      <c r="GQT22" s="7"/>
      <c r="GQV22" s="7"/>
      <c r="GQY22" s="7"/>
      <c r="GQZ22" s="8"/>
      <c r="GRD22" s="1"/>
      <c r="GRF22" s="8"/>
      <c r="GRI22" s="7"/>
      <c r="GRL22" s="7"/>
      <c r="GRN22" s="7"/>
      <c r="GRQ22" s="7"/>
      <c r="GRR22" s="8"/>
      <c r="GRV22" s="1"/>
      <c r="GRX22" s="8"/>
      <c r="GSA22" s="7"/>
      <c r="GSD22" s="7"/>
      <c r="GSF22" s="7"/>
      <c r="GSI22" s="7"/>
      <c r="GSJ22" s="8"/>
      <c r="GSN22" s="1"/>
      <c r="GSP22" s="8"/>
      <c r="GSS22" s="7"/>
      <c r="GSV22" s="7"/>
      <c r="GSX22" s="7"/>
      <c r="GTA22" s="7"/>
      <c r="GTB22" s="8"/>
      <c r="GTF22" s="1"/>
      <c r="GTH22" s="8"/>
      <c r="GTK22" s="7"/>
      <c r="GTN22" s="7"/>
      <c r="GTP22" s="7"/>
      <c r="GTS22" s="7"/>
      <c r="GTT22" s="8"/>
      <c r="GTX22" s="1"/>
      <c r="GTZ22" s="8"/>
      <c r="GUC22" s="7"/>
      <c r="GUF22" s="7"/>
      <c r="GUH22" s="7"/>
      <c r="GUK22" s="7"/>
      <c r="GUL22" s="8"/>
      <c r="GUP22" s="1"/>
      <c r="GUR22" s="8"/>
      <c r="GUU22" s="7"/>
      <c r="GUX22" s="7"/>
      <c r="GUZ22" s="7"/>
      <c r="GVC22" s="7"/>
      <c r="GVD22" s="8"/>
      <c r="GVH22" s="1"/>
      <c r="GVJ22" s="8"/>
      <c r="GVM22" s="7"/>
      <c r="GVP22" s="7"/>
      <c r="GVR22" s="7"/>
      <c r="GVU22" s="7"/>
      <c r="GVV22" s="8"/>
      <c r="GVZ22" s="1"/>
      <c r="GWB22" s="8"/>
      <c r="GWE22" s="7"/>
      <c r="GWH22" s="7"/>
      <c r="GWJ22" s="7"/>
      <c r="GWM22" s="7"/>
      <c r="GWN22" s="8"/>
      <c r="GWR22" s="1"/>
      <c r="GWT22" s="8"/>
      <c r="GWW22" s="7"/>
      <c r="GWZ22" s="7"/>
      <c r="GXB22" s="7"/>
      <c r="GXE22" s="7"/>
      <c r="GXF22" s="8"/>
      <c r="GXJ22" s="1"/>
      <c r="GXL22" s="8"/>
      <c r="GXO22" s="7"/>
      <c r="GXR22" s="7"/>
      <c r="GXT22" s="7"/>
      <c r="GXW22" s="7"/>
      <c r="GXX22" s="8"/>
      <c r="GYB22" s="1"/>
      <c r="GYD22" s="8"/>
      <c r="GYG22" s="7"/>
      <c r="GYJ22" s="7"/>
      <c r="GYL22" s="7"/>
      <c r="GYO22" s="7"/>
      <c r="GYP22" s="8"/>
      <c r="GYT22" s="1"/>
      <c r="GYV22" s="8"/>
      <c r="GYY22" s="7"/>
      <c r="GZB22" s="7"/>
      <c r="GZD22" s="7"/>
      <c r="GZG22" s="7"/>
      <c r="GZH22" s="8"/>
      <c r="GZL22" s="1"/>
      <c r="GZN22" s="8"/>
      <c r="GZQ22" s="7"/>
      <c r="GZT22" s="7"/>
      <c r="GZV22" s="7"/>
      <c r="GZY22" s="7"/>
      <c r="GZZ22" s="8"/>
      <c r="HAD22" s="1"/>
      <c r="HAF22" s="8"/>
      <c r="HAI22" s="7"/>
      <c r="HAL22" s="7"/>
      <c r="HAN22" s="7"/>
      <c r="HAQ22" s="7"/>
      <c r="HAR22" s="8"/>
      <c r="HAV22" s="1"/>
      <c r="HAX22" s="8"/>
      <c r="HBA22" s="7"/>
      <c r="HBD22" s="7"/>
      <c r="HBF22" s="7"/>
      <c r="HBI22" s="7"/>
      <c r="HBJ22" s="8"/>
      <c r="HBN22" s="1"/>
      <c r="HBP22" s="8"/>
      <c r="HBS22" s="7"/>
      <c r="HBV22" s="7"/>
      <c r="HBX22" s="7"/>
      <c r="HCA22" s="7"/>
      <c r="HCB22" s="8"/>
      <c r="HCF22" s="1"/>
      <c r="HCH22" s="8"/>
      <c r="HCK22" s="7"/>
      <c r="HCN22" s="7"/>
      <c r="HCP22" s="7"/>
      <c r="HCS22" s="7"/>
      <c r="HCT22" s="8"/>
      <c r="HCX22" s="1"/>
      <c r="HCZ22" s="8"/>
      <c r="HDC22" s="7"/>
      <c r="HDF22" s="7"/>
      <c r="HDH22" s="7"/>
      <c r="HDK22" s="7"/>
      <c r="HDL22" s="8"/>
      <c r="HDP22" s="1"/>
      <c r="HDR22" s="8"/>
      <c r="HDU22" s="7"/>
      <c r="HDX22" s="7"/>
      <c r="HDZ22" s="7"/>
      <c r="HEC22" s="7"/>
      <c r="HED22" s="8"/>
      <c r="HEH22" s="1"/>
      <c r="HEJ22" s="8"/>
      <c r="HEM22" s="7"/>
      <c r="HEP22" s="7"/>
      <c r="HER22" s="7"/>
      <c r="HEU22" s="7"/>
      <c r="HEV22" s="8"/>
      <c r="HEZ22" s="1"/>
      <c r="HFB22" s="8"/>
      <c r="HFE22" s="7"/>
      <c r="HFH22" s="7"/>
      <c r="HFJ22" s="7"/>
      <c r="HFM22" s="7"/>
      <c r="HFN22" s="8"/>
      <c r="HFR22" s="1"/>
      <c r="HFT22" s="8"/>
      <c r="HFW22" s="7"/>
      <c r="HFZ22" s="7"/>
      <c r="HGB22" s="7"/>
      <c r="HGE22" s="7"/>
      <c r="HGF22" s="8"/>
      <c r="HGJ22" s="1"/>
      <c r="HGL22" s="8"/>
      <c r="HGO22" s="7"/>
      <c r="HGR22" s="7"/>
      <c r="HGT22" s="7"/>
      <c r="HGW22" s="7"/>
      <c r="HGX22" s="8"/>
      <c r="HHB22" s="1"/>
      <c r="HHD22" s="8"/>
      <c r="HHG22" s="7"/>
      <c r="HHJ22" s="7"/>
      <c r="HHL22" s="7"/>
      <c r="HHO22" s="7"/>
      <c r="HHP22" s="8"/>
      <c r="HHT22" s="1"/>
      <c r="HHV22" s="8"/>
      <c r="HHY22" s="7"/>
      <c r="HIB22" s="7"/>
      <c r="HID22" s="7"/>
      <c r="HIG22" s="7"/>
      <c r="HIH22" s="8"/>
      <c r="HIL22" s="1"/>
      <c r="HIN22" s="8"/>
      <c r="HIQ22" s="7"/>
      <c r="HIT22" s="7"/>
      <c r="HIV22" s="7"/>
      <c r="HIY22" s="7"/>
      <c r="HIZ22" s="8"/>
      <c r="HJD22" s="1"/>
      <c r="HJF22" s="8"/>
      <c r="HJI22" s="7"/>
      <c r="HJL22" s="7"/>
      <c r="HJN22" s="7"/>
      <c r="HJQ22" s="7"/>
      <c r="HJR22" s="8"/>
      <c r="HJV22" s="1"/>
      <c r="HJX22" s="8"/>
      <c r="HKA22" s="7"/>
      <c r="HKD22" s="7"/>
      <c r="HKF22" s="7"/>
      <c r="HKI22" s="7"/>
      <c r="HKJ22" s="8"/>
      <c r="HKN22" s="1"/>
      <c r="HKP22" s="8"/>
      <c r="HKS22" s="7"/>
      <c r="HKV22" s="7"/>
      <c r="HKX22" s="7"/>
      <c r="HLA22" s="7"/>
      <c r="HLB22" s="8"/>
      <c r="HLF22" s="1"/>
      <c r="HLH22" s="8"/>
      <c r="HLK22" s="7"/>
      <c r="HLN22" s="7"/>
      <c r="HLP22" s="7"/>
      <c r="HLS22" s="7"/>
      <c r="HLT22" s="8"/>
      <c r="HLX22" s="1"/>
      <c r="HLZ22" s="8"/>
      <c r="HMC22" s="7"/>
      <c r="HMF22" s="7"/>
      <c r="HMH22" s="7"/>
      <c r="HMK22" s="7"/>
      <c r="HML22" s="8"/>
      <c r="HMP22" s="1"/>
      <c r="HMR22" s="8"/>
      <c r="HMU22" s="7"/>
      <c r="HMX22" s="7"/>
      <c r="HMZ22" s="7"/>
      <c r="HNC22" s="7"/>
      <c r="HND22" s="8"/>
      <c r="HNH22" s="1"/>
      <c r="HNJ22" s="8"/>
      <c r="HNM22" s="7"/>
      <c r="HNP22" s="7"/>
      <c r="HNR22" s="7"/>
      <c r="HNU22" s="7"/>
      <c r="HNV22" s="8"/>
      <c r="HNZ22" s="1"/>
      <c r="HOB22" s="8"/>
      <c r="HOE22" s="7"/>
      <c r="HOH22" s="7"/>
      <c r="HOJ22" s="7"/>
      <c r="HOM22" s="7"/>
      <c r="HON22" s="8"/>
      <c r="HOR22" s="1"/>
      <c r="HOT22" s="8"/>
      <c r="HOW22" s="7"/>
      <c r="HOZ22" s="7"/>
      <c r="HPB22" s="7"/>
      <c r="HPE22" s="7"/>
      <c r="HPF22" s="8"/>
      <c r="HPJ22" s="1"/>
      <c r="HPL22" s="8"/>
      <c r="HPO22" s="7"/>
      <c r="HPR22" s="7"/>
      <c r="HPT22" s="7"/>
      <c r="HPW22" s="7"/>
      <c r="HPX22" s="8"/>
      <c r="HQB22" s="1"/>
      <c r="HQD22" s="8"/>
      <c r="HQG22" s="7"/>
      <c r="HQJ22" s="7"/>
      <c r="HQL22" s="7"/>
      <c r="HQO22" s="7"/>
      <c r="HQP22" s="8"/>
      <c r="HQT22" s="1"/>
      <c r="HQV22" s="8"/>
      <c r="HQY22" s="7"/>
      <c r="HRB22" s="7"/>
      <c r="HRD22" s="7"/>
      <c r="HRG22" s="7"/>
      <c r="HRH22" s="8"/>
      <c r="HRL22" s="1"/>
      <c r="HRN22" s="8"/>
      <c r="HRQ22" s="7"/>
      <c r="HRT22" s="7"/>
      <c r="HRV22" s="7"/>
      <c r="HRY22" s="7"/>
      <c r="HRZ22" s="8"/>
      <c r="HSD22" s="1"/>
      <c r="HSF22" s="8"/>
      <c r="HSI22" s="7"/>
      <c r="HSL22" s="7"/>
      <c r="HSN22" s="7"/>
      <c r="HSQ22" s="7"/>
      <c r="HSR22" s="8"/>
      <c r="HSV22" s="1"/>
      <c r="HSX22" s="8"/>
      <c r="HTA22" s="7"/>
      <c r="HTD22" s="7"/>
      <c r="HTF22" s="7"/>
      <c r="HTI22" s="7"/>
      <c r="HTJ22" s="8"/>
      <c r="HTN22" s="1"/>
      <c r="HTP22" s="8"/>
      <c r="HTS22" s="7"/>
      <c r="HTV22" s="7"/>
      <c r="HTX22" s="7"/>
      <c r="HUA22" s="7"/>
      <c r="HUB22" s="8"/>
      <c r="HUF22" s="1"/>
      <c r="HUH22" s="8"/>
      <c r="HUK22" s="7"/>
      <c r="HUN22" s="7"/>
      <c r="HUP22" s="7"/>
      <c r="HUS22" s="7"/>
      <c r="HUT22" s="8"/>
      <c r="HUX22" s="1"/>
      <c r="HUZ22" s="8"/>
      <c r="HVC22" s="7"/>
      <c r="HVF22" s="7"/>
      <c r="HVH22" s="7"/>
      <c r="HVK22" s="7"/>
      <c r="HVL22" s="8"/>
      <c r="HVP22" s="1"/>
      <c r="HVR22" s="8"/>
      <c r="HVU22" s="7"/>
      <c r="HVX22" s="7"/>
      <c r="HVZ22" s="7"/>
      <c r="HWC22" s="7"/>
      <c r="HWD22" s="8"/>
      <c r="HWH22" s="1"/>
      <c r="HWJ22" s="8"/>
      <c r="HWM22" s="7"/>
      <c r="HWP22" s="7"/>
      <c r="HWR22" s="7"/>
      <c r="HWU22" s="7"/>
      <c r="HWV22" s="8"/>
      <c r="HWZ22" s="1"/>
      <c r="HXB22" s="8"/>
      <c r="HXE22" s="7"/>
      <c r="HXH22" s="7"/>
      <c r="HXJ22" s="7"/>
      <c r="HXM22" s="7"/>
      <c r="HXN22" s="8"/>
      <c r="HXR22" s="1"/>
      <c r="HXT22" s="8"/>
      <c r="HXW22" s="7"/>
      <c r="HXZ22" s="7"/>
      <c r="HYB22" s="7"/>
      <c r="HYE22" s="7"/>
      <c r="HYF22" s="8"/>
      <c r="HYJ22" s="1"/>
      <c r="HYL22" s="8"/>
      <c r="HYO22" s="7"/>
      <c r="HYR22" s="7"/>
      <c r="HYT22" s="7"/>
      <c r="HYW22" s="7"/>
      <c r="HYX22" s="8"/>
      <c r="HZB22" s="1"/>
      <c r="HZD22" s="8"/>
      <c r="HZG22" s="7"/>
      <c r="HZJ22" s="7"/>
      <c r="HZL22" s="7"/>
      <c r="HZO22" s="7"/>
      <c r="HZP22" s="8"/>
      <c r="HZT22" s="1"/>
      <c r="HZV22" s="8"/>
      <c r="HZY22" s="7"/>
      <c r="IAB22" s="7"/>
      <c r="IAD22" s="7"/>
      <c r="IAG22" s="7"/>
      <c r="IAH22" s="8"/>
      <c r="IAL22" s="1"/>
      <c r="IAN22" s="8"/>
      <c r="IAQ22" s="7"/>
      <c r="IAT22" s="7"/>
      <c r="IAV22" s="7"/>
      <c r="IAY22" s="7"/>
      <c r="IAZ22" s="8"/>
      <c r="IBD22" s="1"/>
      <c r="IBF22" s="8"/>
      <c r="IBI22" s="7"/>
      <c r="IBL22" s="7"/>
      <c r="IBN22" s="7"/>
      <c r="IBQ22" s="7"/>
      <c r="IBR22" s="8"/>
      <c r="IBV22" s="1"/>
      <c r="IBX22" s="8"/>
      <c r="ICA22" s="7"/>
      <c r="ICD22" s="7"/>
      <c r="ICF22" s="7"/>
      <c r="ICI22" s="7"/>
      <c r="ICJ22" s="8"/>
      <c r="ICN22" s="1"/>
      <c r="ICP22" s="8"/>
      <c r="ICS22" s="7"/>
      <c r="ICV22" s="7"/>
      <c r="ICX22" s="7"/>
      <c r="IDA22" s="7"/>
      <c r="IDB22" s="8"/>
      <c r="IDF22" s="1"/>
      <c r="IDH22" s="8"/>
      <c r="IDK22" s="7"/>
      <c r="IDN22" s="7"/>
      <c r="IDP22" s="7"/>
      <c r="IDS22" s="7"/>
      <c r="IDT22" s="8"/>
      <c r="IDX22" s="1"/>
      <c r="IDZ22" s="8"/>
      <c r="IEC22" s="7"/>
      <c r="IEF22" s="7"/>
      <c r="IEH22" s="7"/>
      <c r="IEK22" s="7"/>
      <c r="IEL22" s="8"/>
      <c r="IEP22" s="1"/>
      <c r="IER22" s="8"/>
      <c r="IEU22" s="7"/>
      <c r="IEX22" s="7"/>
      <c r="IEZ22" s="7"/>
      <c r="IFC22" s="7"/>
      <c r="IFD22" s="8"/>
      <c r="IFH22" s="1"/>
      <c r="IFJ22" s="8"/>
      <c r="IFM22" s="7"/>
      <c r="IFP22" s="7"/>
      <c r="IFR22" s="7"/>
      <c r="IFU22" s="7"/>
      <c r="IFV22" s="8"/>
      <c r="IFZ22" s="1"/>
      <c r="IGB22" s="8"/>
      <c r="IGE22" s="7"/>
      <c r="IGH22" s="7"/>
      <c r="IGJ22" s="7"/>
      <c r="IGM22" s="7"/>
      <c r="IGN22" s="8"/>
      <c r="IGR22" s="1"/>
      <c r="IGT22" s="8"/>
      <c r="IGW22" s="7"/>
      <c r="IGZ22" s="7"/>
      <c r="IHB22" s="7"/>
      <c r="IHE22" s="7"/>
      <c r="IHF22" s="8"/>
      <c r="IHJ22" s="1"/>
      <c r="IHL22" s="8"/>
      <c r="IHO22" s="7"/>
      <c r="IHR22" s="7"/>
      <c r="IHT22" s="7"/>
      <c r="IHW22" s="7"/>
      <c r="IHX22" s="8"/>
      <c r="IIB22" s="1"/>
      <c r="IID22" s="8"/>
      <c r="IIG22" s="7"/>
      <c r="IIJ22" s="7"/>
      <c r="IIL22" s="7"/>
      <c r="IIO22" s="7"/>
      <c r="IIP22" s="8"/>
      <c r="IIT22" s="1"/>
      <c r="IIV22" s="8"/>
      <c r="IIY22" s="7"/>
      <c r="IJB22" s="7"/>
      <c r="IJD22" s="7"/>
      <c r="IJG22" s="7"/>
      <c r="IJH22" s="8"/>
      <c r="IJL22" s="1"/>
      <c r="IJN22" s="8"/>
      <c r="IJQ22" s="7"/>
      <c r="IJT22" s="7"/>
      <c r="IJV22" s="7"/>
      <c r="IJY22" s="7"/>
      <c r="IJZ22" s="8"/>
      <c r="IKD22" s="1"/>
      <c r="IKF22" s="8"/>
      <c r="IKI22" s="7"/>
      <c r="IKL22" s="7"/>
      <c r="IKN22" s="7"/>
      <c r="IKQ22" s="7"/>
      <c r="IKR22" s="8"/>
      <c r="IKV22" s="1"/>
      <c r="IKX22" s="8"/>
      <c r="ILA22" s="7"/>
      <c r="ILD22" s="7"/>
      <c r="ILF22" s="7"/>
      <c r="ILI22" s="7"/>
      <c r="ILJ22" s="8"/>
      <c r="ILN22" s="1"/>
      <c r="ILP22" s="8"/>
      <c r="ILS22" s="7"/>
      <c r="ILV22" s="7"/>
      <c r="ILX22" s="7"/>
      <c r="IMA22" s="7"/>
      <c r="IMB22" s="8"/>
      <c r="IMF22" s="1"/>
      <c r="IMH22" s="8"/>
      <c r="IMK22" s="7"/>
      <c r="IMN22" s="7"/>
      <c r="IMP22" s="7"/>
      <c r="IMS22" s="7"/>
      <c r="IMT22" s="8"/>
      <c r="IMX22" s="1"/>
      <c r="IMZ22" s="8"/>
      <c r="INC22" s="7"/>
      <c r="INF22" s="7"/>
      <c r="INH22" s="7"/>
      <c r="INK22" s="7"/>
      <c r="INL22" s="8"/>
      <c r="INP22" s="1"/>
      <c r="INR22" s="8"/>
      <c r="INU22" s="7"/>
      <c r="INX22" s="7"/>
      <c r="INZ22" s="7"/>
      <c r="IOC22" s="7"/>
      <c r="IOD22" s="8"/>
      <c r="IOH22" s="1"/>
      <c r="IOJ22" s="8"/>
      <c r="IOM22" s="7"/>
      <c r="IOP22" s="7"/>
      <c r="IOR22" s="7"/>
      <c r="IOU22" s="7"/>
      <c r="IOV22" s="8"/>
      <c r="IOZ22" s="1"/>
      <c r="IPB22" s="8"/>
      <c r="IPE22" s="7"/>
      <c r="IPH22" s="7"/>
      <c r="IPJ22" s="7"/>
      <c r="IPM22" s="7"/>
      <c r="IPN22" s="8"/>
      <c r="IPR22" s="1"/>
      <c r="IPT22" s="8"/>
      <c r="IPW22" s="7"/>
      <c r="IPZ22" s="7"/>
      <c r="IQB22" s="7"/>
      <c r="IQE22" s="7"/>
      <c r="IQF22" s="8"/>
      <c r="IQJ22" s="1"/>
      <c r="IQL22" s="8"/>
      <c r="IQO22" s="7"/>
      <c r="IQR22" s="7"/>
      <c r="IQT22" s="7"/>
      <c r="IQW22" s="7"/>
      <c r="IQX22" s="8"/>
      <c r="IRB22" s="1"/>
      <c r="IRD22" s="8"/>
      <c r="IRG22" s="7"/>
      <c r="IRJ22" s="7"/>
      <c r="IRL22" s="7"/>
      <c r="IRO22" s="7"/>
      <c r="IRP22" s="8"/>
      <c r="IRT22" s="1"/>
      <c r="IRV22" s="8"/>
      <c r="IRY22" s="7"/>
      <c r="ISB22" s="7"/>
      <c r="ISD22" s="7"/>
      <c r="ISG22" s="7"/>
      <c r="ISH22" s="8"/>
      <c r="ISL22" s="1"/>
      <c r="ISN22" s="8"/>
      <c r="ISQ22" s="7"/>
      <c r="IST22" s="7"/>
      <c r="ISV22" s="7"/>
      <c r="ISY22" s="7"/>
      <c r="ISZ22" s="8"/>
      <c r="ITD22" s="1"/>
      <c r="ITF22" s="8"/>
      <c r="ITI22" s="7"/>
      <c r="ITL22" s="7"/>
      <c r="ITN22" s="7"/>
      <c r="ITQ22" s="7"/>
      <c r="ITR22" s="8"/>
      <c r="ITV22" s="1"/>
      <c r="ITX22" s="8"/>
      <c r="IUA22" s="7"/>
      <c r="IUD22" s="7"/>
      <c r="IUF22" s="7"/>
      <c r="IUI22" s="7"/>
      <c r="IUJ22" s="8"/>
      <c r="IUN22" s="1"/>
      <c r="IUP22" s="8"/>
      <c r="IUS22" s="7"/>
      <c r="IUV22" s="7"/>
      <c r="IUX22" s="7"/>
      <c r="IVA22" s="7"/>
      <c r="IVB22" s="8"/>
      <c r="IVF22" s="1"/>
      <c r="IVH22" s="8"/>
      <c r="IVK22" s="7"/>
      <c r="IVN22" s="7"/>
      <c r="IVP22" s="7"/>
      <c r="IVS22" s="7"/>
      <c r="IVT22" s="8"/>
      <c r="IVX22" s="1"/>
      <c r="IVZ22" s="8"/>
      <c r="IWC22" s="7"/>
      <c r="IWF22" s="7"/>
      <c r="IWH22" s="7"/>
      <c r="IWK22" s="7"/>
      <c r="IWL22" s="8"/>
      <c r="IWP22" s="1"/>
      <c r="IWR22" s="8"/>
      <c r="IWU22" s="7"/>
      <c r="IWX22" s="7"/>
      <c r="IWZ22" s="7"/>
      <c r="IXC22" s="7"/>
      <c r="IXD22" s="8"/>
      <c r="IXH22" s="1"/>
      <c r="IXJ22" s="8"/>
      <c r="IXM22" s="7"/>
      <c r="IXP22" s="7"/>
      <c r="IXR22" s="7"/>
      <c r="IXU22" s="7"/>
      <c r="IXV22" s="8"/>
      <c r="IXZ22" s="1"/>
      <c r="IYB22" s="8"/>
      <c r="IYE22" s="7"/>
      <c r="IYH22" s="7"/>
      <c r="IYJ22" s="7"/>
      <c r="IYM22" s="7"/>
      <c r="IYN22" s="8"/>
      <c r="IYR22" s="1"/>
      <c r="IYT22" s="8"/>
      <c r="IYW22" s="7"/>
      <c r="IYZ22" s="7"/>
      <c r="IZB22" s="7"/>
      <c r="IZE22" s="7"/>
      <c r="IZF22" s="8"/>
      <c r="IZJ22" s="1"/>
      <c r="IZL22" s="8"/>
      <c r="IZO22" s="7"/>
      <c r="IZR22" s="7"/>
      <c r="IZT22" s="7"/>
      <c r="IZW22" s="7"/>
      <c r="IZX22" s="8"/>
      <c r="JAB22" s="1"/>
      <c r="JAD22" s="8"/>
      <c r="JAG22" s="7"/>
      <c r="JAJ22" s="7"/>
      <c r="JAL22" s="7"/>
      <c r="JAO22" s="7"/>
      <c r="JAP22" s="8"/>
      <c r="JAT22" s="1"/>
      <c r="JAV22" s="8"/>
      <c r="JAY22" s="7"/>
      <c r="JBB22" s="7"/>
      <c r="JBD22" s="7"/>
      <c r="JBG22" s="7"/>
      <c r="JBH22" s="8"/>
      <c r="JBL22" s="1"/>
      <c r="JBN22" s="8"/>
      <c r="JBQ22" s="7"/>
      <c r="JBT22" s="7"/>
      <c r="JBV22" s="7"/>
      <c r="JBY22" s="7"/>
      <c r="JBZ22" s="8"/>
      <c r="JCD22" s="1"/>
      <c r="JCF22" s="8"/>
      <c r="JCI22" s="7"/>
      <c r="JCL22" s="7"/>
      <c r="JCN22" s="7"/>
      <c r="JCQ22" s="7"/>
      <c r="JCR22" s="8"/>
      <c r="JCV22" s="1"/>
      <c r="JCX22" s="8"/>
      <c r="JDA22" s="7"/>
      <c r="JDD22" s="7"/>
      <c r="JDF22" s="7"/>
      <c r="JDI22" s="7"/>
      <c r="JDJ22" s="8"/>
      <c r="JDN22" s="1"/>
      <c r="JDP22" s="8"/>
      <c r="JDS22" s="7"/>
      <c r="JDV22" s="7"/>
      <c r="JDX22" s="7"/>
      <c r="JEA22" s="7"/>
      <c r="JEB22" s="8"/>
      <c r="JEF22" s="1"/>
      <c r="JEH22" s="8"/>
      <c r="JEK22" s="7"/>
      <c r="JEN22" s="7"/>
      <c r="JEP22" s="7"/>
      <c r="JES22" s="7"/>
      <c r="JET22" s="8"/>
      <c r="JEX22" s="1"/>
      <c r="JEZ22" s="8"/>
      <c r="JFC22" s="7"/>
      <c r="JFF22" s="7"/>
      <c r="JFH22" s="7"/>
      <c r="JFK22" s="7"/>
      <c r="JFL22" s="8"/>
      <c r="JFP22" s="1"/>
      <c r="JFR22" s="8"/>
      <c r="JFU22" s="7"/>
      <c r="JFX22" s="7"/>
      <c r="JFZ22" s="7"/>
      <c r="JGC22" s="7"/>
      <c r="JGD22" s="8"/>
      <c r="JGH22" s="1"/>
      <c r="JGJ22" s="8"/>
      <c r="JGM22" s="7"/>
      <c r="JGP22" s="7"/>
      <c r="JGR22" s="7"/>
      <c r="JGU22" s="7"/>
      <c r="JGV22" s="8"/>
      <c r="JGZ22" s="1"/>
      <c r="JHB22" s="8"/>
      <c r="JHE22" s="7"/>
      <c r="JHH22" s="7"/>
      <c r="JHJ22" s="7"/>
      <c r="JHM22" s="7"/>
      <c r="JHN22" s="8"/>
      <c r="JHR22" s="1"/>
      <c r="JHT22" s="8"/>
      <c r="JHW22" s="7"/>
      <c r="JHZ22" s="7"/>
      <c r="JIB22" s="7"/>
      <c r="JIE22" s="7"/>
      <c r="JIF22" s="8"/>
      <c r="JIJ22" s="1"/>
      <c r="JIL22" s="8"/>
      <c r="JIO22" s="7"/>
      <c r="JIR22" s="7"/>
      <c r="JIT22" s="7"/>
      <c r="JIW22" s="7"/>
      <c r="JIX22" s="8"/>
      <c r="JJB22" s="1"/>
      <c r="JJD22" s="8"/>
      <c r="JJG22" s="7"/>
      <c r="JJJ22" s="7"/>
      <c r="JJL22" s="7"/>
      <c r="JJO22" s="7"/>
      <c r="JJP22" s="8"/>
      <c r="JJT22" s="1"/>
      <c r="JJV22" s="8"/>
      <c r="JJY22" s="7"/>
      <c r="JKB22" s="7"/>
      <c r="JKD22" s="7"/>
      <c r="JKG22" s="7"/>
      <c r="JKH22" s="8"/>
      <c r="JKL22" s="1"/>
      <c r="JKN22" s="8"/>
      <c r="JKQ22" s="7"/>
      <c r="JKT22" s="7"/>
      <c r="JKV22" s="7"/>
      <c r="JKY22" s="7"/>
      <c r="JKZ22" s="8"/>
      <c r="JLD22" s="1"/>
      <c r="JLF22" s="8"/>
      <c r="JLI22" s="7"/>
      <c r="JLL22" s="7"/>
      <c r="JLN22" s="7"/>
      <c r="JLQ22" s="7"/>
      <c r="JLR22" s="8"/>
      <c r="JLV22" s="1"/>
      <c r="JLX22" s="8"/>
      <c r="JMA22" s="7"/>
      <c r="JMD22" s="7"/>
      <c r="JMF22" s="7"/>
      <c r="JMI22" s="7"/>
      <c r="JMJ22" s="8"/>
      <c r="JMN22" s="1"/>
      <c r="JMP22" s="8"/>
      <c r="JMS22" s="7"/>
      <c r="JMV22" s="7"/>
      <c r="JMX22" s="7"/>
      <c r="JNA22" s="7"/>
      <c r="JNB22" s="8"/>
      <c r="JNF22" s="1"/>
      <c r="JNH22" s="8"/>
      <c r="JNK22" s="7"/>
      <c r="JNN22" s="7"/>
      <c r="JNP22" s="7"/>
      <c r="JNS22" s="7"/>
      <c r="JNT22" s="8"/>
      <c r="JNX22" s="1"/>
      <c r="JNZ22" s="8"/>
      <c r="JOC22" s="7"/>
      <c r="JOF22" s="7"/>
      <c r="JOH22" s="7"/>
      <c r="JOK22" s="7"/>
      <c r="JOL22" s="8"/>
      <c r="JOP22" s="1"/>
      <c r="JOR22" s="8"/>
      <c r="JOU22" s="7"/>
      <c r="JOX22" s="7"/>
      <c r="JOZ22" s="7"/>
      <c r="JPC22" s="7"/>
      <c r="JPD22" s="8"/>
      <c r="JPH22" s="1"/>
      <c r="JPJ22" s="8"/>
      <c r="JPM22" s="7"/>
      <c r="JPP22" s="7"/>
      <c r="JPR22" s="7"/>
      <c r="JPU22" s="7"/>
      <c r="JPV22" s="8"/>
      <c r="JPZ22" s="1"/>
      <c r="JQB22" s="8"/>
      <c r="JQE22" s="7"/>
      <c r="JQH22" s="7"/>
      <c r="JQJ22" s="7"/>
      <c r="JQM22" s="7"/>
      <c r="JQN22" s="8"/>
      <c r="JQR22" s="1"/>
      <c r="JQT22" s="8"/>
      <c r="JQW22" s="7"/>
      <c r="JQZ22" s="7"/>
      <c r="JRB22" s="7"/>
      <c r="JRE22" s="7"/>
      <c r="JRF22" s="8"/>
      <c r="JRJ22" s="1"/>
      <c r="JRL22" s="8"/>
      <c r="JRO22" s="7"/>
      <c r="JRR22" s="7"/>
      <c r="JRT22" s="7"/>
      <c r="JRW22" s="7"/>
      <c r="JRX22" s="8"/>
      <c r="JSB22" s="1"/>
      <c r="JSD22" s="8"/>
      <c r="JSG22" s="7"/>
      <c r="JSJ22" s="7"/>
      <c r="JSL22" s="7"/>
      <c r="JSO22" s="7"/>
      <c r="JSP22" s="8"/>
      <c r="JST22" s="1"/>
      <c r="JSV22" s="8"/>
      <c r="JSY22" s="7"/>
      <c r="JTB22" s="7"/>
      <c r="JTD22" s="7"/>
      <c r="JTG22" s="7"/>
      <c r="JTH22" s="8"/>
      <c r="JTL22" s="1"/>
      <c r="JTN22" s="8"/>
      <c r="JTQ22" s="7"/>
      <c r="JTT22" s="7"/>
      <c r="JTV22" s="7"/>
      <c r="JTY22" s="7"/>
      <c r="JTZ22" s="8"/>
      <c r="JUD22" s="1"/>
      <c r="JUF22" s="8"/>
      <c r="JUI22" s="7"/>
      <c r="JUL22" s="7"/>
      <c r="JUN22" s="7"/>
      <c r="JUQ22" s="7"/>
      <c r="JUR22" s="8"/>
      <c r="JUV22" s="1"/>
      <c r="JUX22" s="8"/>
      <c r="JVA22" s="7"/>
      <c r="JVD22" s="7"/>
      <c r="JVF22" s="7"/>
      <c r="JVI22" s="7"/>
      <c r="JVJ22" s="8"/>
      <c r="JVN22" s="1"/>
      <c r="JVP22" s="8"/>
      <c r="JVS22" s="7"/>
      <c r="JVV22" s="7"/>
      <c r="JVX22" s="7"/>
      <c r="JWA22" s="7"/>
      <c r="JWB22" s="8"/>
      <c r="JWF22" s="1"/>
      <c r="JWH22" s="8"/>
      <c r="JWK22" s="7"/>
      <c r="JWN22" s="7"/>
      <c r="JWP22" s="7"/>
      <c r="JWS22" s="7"/>
      <c r="JWT22" s="8"/>
      <c r="JWX22" s="1"/>
      <c r="JWZ22" s="8"/>
      <c r="JXC22" s="7"/>
      <c r="JXF22" s="7"/>
      <c r="JXH22" s="7"/>
      <c r="JXK22" s="7"/>
      <c r="JXL22" s="8"/>
      <c r="JXP22" s="1"/>
      <c r="JXR22" s="8"/>
      <c r="JXU22" s="7"/>
      <c r="JXX22" s="7"/>
      <c r="JXZ22" s="7"/>
      <c r="JYC22" s="7"/>
      <c r="JYD22" s="8"/>
      <c r="JYH22" s="1"/>
      <c r="JYJ22" s="8"/>
      <c r="JYM22" s="7"/>
      <c r="JYP22" s="7"/>
      <c r="JYR22" s="7"/>
      <c r="JYU22" s="7"/>
      <c r="JYV22" s="8"/>
      <c r="JYZ22" s="1"/>
      <c r="JZB22" s="8"/>
      <c r="JZE22" s="7"/>
      <c r="JZH22" s="7"/>
      <c r="JZJ22" s="7"/>
      <c r="JZM22" s="7"/>
      <c r="JZN22" s="8"/>
      <c r="JZR22" s="1"/>
      <c r="JZT22" s="8"/>
      <c r="JZW22" s="7"/>
      <c r="JZZ22" s="7"/>
      <c r="KAB22" s="7"/>
      <c r="KAE22" s="7"/>
      <c r="KAF22" s="8"/>
      <c r="KAJ22" s="1"/>
      <c r="KAL22" s="8"/>
      <c r="KAO22" s="7"/>
      <c r="KAR22" s="7"/>
      <c r="KAT22" s="7"/>
      <c r="KAW22" s="7"/>
      <c r="KAX22" s="8"/>
      <c r="KBB22" s="1"/>
      <c r="KBD22" s="8"/>
      <c r="KBG22" s="7"/>
      <c r="KBJ22" s="7"/>
      <c r="KBL22" s="7"/>
      <c r="KBO22" s="7"/>
      <c r="KBP22" s="8"/>
      <c r="KBT22" s="1"/>
      <c r="KBV22" s="8"/>
      <c r="KBY22" s="7"/>
      <c r="KCB22" s="7"/>
      <c r="KCD22" s="7"/>
      <c r="KCG22" s="7"/>
      <c r="KCH22" s="8"/>
      <c r="KCL22" s="1"/>
      <c r="KCN22" s="8"/>
      <c r="KCQ22" s="7"/>
      <c r="KCT22" s="7"/>
      <c r="KCV22" s="7"/>
      <c r="KCY22" s="7"/>
      <c r="KCZ22" s="8"/>
      <c r="KDD22" s="1"/>
      <c r="KDF22" s="8"/>
      <c r="KDI22" s="7"/>
      <c r="KDL22" s="7"/>
      <c r="KDN22" s="7"/>
      <c r="KDQ22" s="7"/>
      <c r="KDR22" s="8"/>
      <c r="KDV22" s="1"/>
      <c r="KDX22" s="8"/>
      <c r="KEA22" s="7"/>
      <c r="KED22" s="7"/>
      <c r="KEF22" s="7"/>
      <c r="KEI22" s="7"/>
      <c r="KEJ22" s="8"/>
      <c r="KEN22" s="1"/>
      <c r="KEP22" s="8"/>
      <c r="KES22" s="7"/>
      <c r="KEV22" s="7"/>
      <c r="KEX22" s="7"/>
      <c r="KFA22" s="7"/>
      <c r="KFB22" s="8"/>
      <c r="KFF22" s="1"/>
      <c r="KFH22" s="8"/>
      <c r="KFK22" s="7"/>
      <c r="KFN22" s="7"/>
      <c r="KFP22" s="7"/>
      <c r="KFS22" s="7"/>
      <c r="KFT22" s="8"/>
      <c r="KFX22" s="1"/>
      <c r="KFZ22" s="8"/>
      <c r="KGC22" s="7"/>
      <c r="KGF22" s="7"/>
      <c r="KGH22" s="7"/>
      <c r="KGK22" s="7"/>
      <c r="KGL22" s="8"/>
      <c r="KGP22" s="1"/>
      <c r="KGR22" s="8"/>
      <c r="KGU22" s="7"/>
      <c r="KGX22" s="7"/>
      <c r="KGZ22" s="7"/>
      <c r="KHC22" s="7"/>
      <c r="KHD22" s="8"/>
      <c r="KHH22" s="1"/>
      <c r="KHJ22" s="8"/>
      <c r="KHM22" s="7"/>
      <c r="KHP22" s="7"/>
      <c r="KHR22" s="7"/>
      <c r="KHU22" s="7"/>
      <c r="KHV22" s="8"/>
      <c r="KHZ22" s="1"/>
      <c r="KIB22" s="8"/>
      <c r="KIE22" s="7"/>
      <c r="KIH22" s="7"/>
      <c r="KIJ22" s="7"/>
      <c r="KIM22" s="7"/>
      <c r="KIN22" s="8"/>
      <c r="KIR22" s="1"/>
      <c r="KIT22" s="8"/>
      <c r="KIW22" s="7"/>
      <c r="KIZ22" s="7"/>
      <c r="KJB22" s="7"/>
      <c r="KJE22" s="7"/>
      <c r="KJF22" s="8"/>
      <c r="KJJ22" s="1"/>
      <c r="KJL22" s="8"/>
      <c r="KJO22" s="7"/>
      <c r="KJR22" s="7"/>
      <c r="KJT22" s="7"/>
      <c r="KJW22" s="7"/>
      <c r="KJX22" s="8"/>
      <c r="KKB22" s="1"/>
      <c r="KKD22" s="8"/>
      <c r="KKG22" s="7"/>
      <c r="KKJ22" s="7"/>
      <c r="KKL22" s="7"/>
      <c r="KKO22" s="7"/>
      <c r="KKP22" s="8"/>
      <c r="KKT22" s="1"/>
      <c r="KKV22" s="8"/>
      <c r="KKY22" s="7"/>
      <c r="KLB22" s="7"/>
      <c r="KLD22" s="7"/>
      <c r="KLG22" s="7"/>
      <c r="KLH22" s="8"/>
      <c r="KLL22" s="1"/>
      <c r="KLN22" s="8"/>
      <c r="KLQ22" s="7"/>
      <c r="KLT22" s="7"/>
      <c r="KLV22" s="7"/>
      <c r="KLY22" s="7"/>
      <c r="KLZ22" s="8"/>
      <c r="KMD22" s="1"/>
      <c r="KMF22" s="8"/>
      <c r="KMI22" s="7"/>
      <c r="KML22" s="7"/>
      <c r="KMN22" s="7"/>
      <c r="KMQ22" s="7"/>
      <c r="KMR22" s="8"/>
      <c r="KMV22" s="1"/>
      <c r="KMX22" s="8"/>
      <c r="KNA22" s="7"/>
      <c r="KND22" s="7"/>
      <c r="KNF22" s="7"/>
      <c r="KNI22" s="7"/>
      <c r="KNJ22" s="8"/>
      <c r="KNN22" s="1"/>
      <c r="KNP22" s="8"/>
      <c r="KNS22" s="7"/>
      <c r="KNV22" s="7"/>
      <c r="KNX22" s="7"/>
      <c r="KOA22" s="7"/>
      <c r="KOB22" s="8"/>
      <c r="KOF22" s="1"/>
      <c r="KOH22" s="8"/>
      <c r="KOK22" s="7"/>
      <c r="KON22" s="7"/>
      <c r="KOP22" s="7"/>
      <c r="KOS22" s="7"/>
      <c r="KOT22" s="8"/>
      <c r="KOX22" s="1"/>
      <c r="KOZ22" s="8"/>
      <c r="KPC22" s="7"/>
      <c r="KPF22" s="7"/>
      <c r="KPH22" s="7"/>
      <c r="KPK22" s="7"/>
      <c r="KPL22" s="8"/>
      <c r="KPP22" s="1"/>
      <c r="KPR22" s="8"/>
      <c r="KPU22" s="7"/>
      <c r="KPX22" s="7"/>
      <c r="KPZ22" s="7"/>
      <c r="KQC22" s="7"/>
      <c r="KQD22" s="8"/>
      <c r="KQH22" s="1"/>
      <c r="KQJ22" s="8"/>
      <c r="KQM22" s="7"/>
      <c r="KQP22" s="7"/>
      <c r="KQR22" s="7"/>
      <c r="KQU22" s="7"/>
      <c r="KQV22" s="8"/>
      <c r="KQZ22" s="1"/>
      <c r="KRB22" s="8"/>
      <c r="KRE22" s="7"/>
      <c r="KRH22" s="7"/>
      <c r="KRJ22" s="7"/>
      <c r="KRM22" s="7"/>
      <c r="KRN22" s="8"/>
      <c r="KRR22" s="1"/>
      <c r="KRT22" s="8"/>
      <c r="KRW22" s="7"/>
      <c r="KRZ22" s="7"/>
      <c r="KSB22" s="7"/>
      <c r="KSE22" s="7"/>
      <c r="KSF22" s="8"/>
      <c r="KSJ22" s="1"/>
      <c r="KSL22" s="8"/>
      <c r="KSO22" s="7"/>
      <c r="KSR22" s="7"/>
      <c r="KST22" s="7"/>
      <c r="KSW22" s="7"/>
      <c r="KSX22" s="8"/>
      <c r="KTB22" s="1"/>
      <c r="KTD22" s="8"/>
      <c r="KTG22" s="7"/>
      <c r="KTJ22" s="7"/>
      <c r="KTL22" s="7"/>
      <c r="KTO22" s="7"/>
      <c r="KTP22" s="8"/>
      <c r="KTT22" s="1"/>
      <c r="KTV22" s="8"/>
      <c r="KTY22" s="7"/>
      <c r="KUB22" s="7"/>
      <c r="KUD22" s="7"/>
      <c r="KUG22" s="7"/>
      <c r="KUH22" s="8"/>
      <c r="KUL22" s="1"/>
      <c r="KUN22" s="8"/>
      <c r="KUQ22" s="7"/>
      <c r="KUT22" s="7"/>
      <c r="KUV22" s="7"/>
      <c r="KUY22" s="7"/>
      <c r="KUZ22" s="8"/>
      <c r="KVD22" s="1"/>
      <c r="KVF22" s="8"/>
      <c r="KVI22" s="7"/>
      <c r="KVL22" s="7"/>
      <c r="KVN22" s="7"/>
      <c r="KVQ22" s="7"/>
      <c r="KVR22" s="8"/>
      <c r="KVV22" s="1"/>
      <c r="KVX22" s="8"/>
      <c r="KWA22" s="7"/>
      <c r="KWD22" s="7"/>
      <c r="KWF22" s="7"/>
      <c r="KWI22" s="7"/>
      <c r="KWJ22" s="8"/>
      <c r="KWN22" s="1"/>
      <c r="KWP22" s="8"/>
      <c r="KWS22" s="7"/>
      <c r="KWV22" s="7"/>
      <c r="KWX22" s="7"/>
      <c r="KXA22" s="7"/>
      <c r="KXB22" s="8"/>
      <c r="KXF22" s="1"/>
      <c r="KXH22" s="8"/>
      <c r="KXK22" s="7"/>
      <c r="KXN22" s="7"/>
      <c r="KXP22" s="7"/>
      <c r="KXS22" s="7"/>
      <c r="KXT22" s="8"/>
      <c r="KXX22" s="1"/>
      <c r="KXZ22" s="8"/>
      <c r="KYC22" s="7"/>
      <c r="KYF22" s="7"/>
      <c r="KYH22" s="7"/>
      <c r="KYK22" s="7"/>
      <c r="KYL22" s="8"/>
      <c r="KYP22" s="1"/>
      <c r="KYR22" s="8"/>
      <c r="KYU22" s="7"/>
      <c r="KYX22" s="7"/>
      <c r="KYZ22" s="7"/>
      <c r="KZC22" s="7"/>
      <c r="KZD22" s="8"/>
      <c r="KZH22" s="1"/>
      <c r="KZJ22" s="8"/>
      <c r="KZM22" s="7"/>
      <c r="KZP22" s="7"/>
      <c r="KZR22" s="7"/>
      <c r="KZU22" s="7"/>
      <c r="KZV22" s="8"/>
      <c r="KZZ22" s="1"/>
      <c r="LAB22" s="8"/>
      <c r="LAE22" s="7"/>
      <c r="LAH22" s="7"/>
      <c r="LAJ22" s="7"/>
      <c r="LAM22" s="7"/>
      <c r="LAN22" s="8"/>
      <c r="LAR22" s="1"/>
      <c r="LAT22" s="8"/>
      <c r="LAW22" s="7"/>
      <c r="LAZ22" s="7"/>
      <c r="LBB22" s="7"/>
      <c r="LBE22" s="7"/>
      <c r="LBF22" s="8"/>
      <c r="LBJ22" s="1"/>
      <c r="LBL22" s="8"/>
      <c r="LBO22" s="7"/>
      <c r="LBR22" s="7"/>
      <c r="LBT22" s="7"/>
      <c r="LBW22" s="7"/>
      <c r="LBX22" s="8"/>
      <c r="LCB22" s="1"/>
      <c r="LCD22" s="8"/>
      <c r="LCG22" s="7"/>
      <c r="LCJ22" s="7"/>
      <c r="LCL22" s="7"/>
      <c r="LCO22" s="7"/>
      <c r="LCP22" s="8"/>
      <c r="LCT22" s="1"/>
      <c r="LCV22" s="8"/>
      <c r="LCY22" s="7"/>
      <c r="LDB22" s="7"/>
      <c r="LDD22" s="7"/>
      <c r="LDG22" s="7"/>
      <c r="LDH22" s="8"/>
      <c r="LDL22" s="1"/>
      <c r="LDN22" s="8"/>
      <c r="LDQ22" s="7"/>
      <c r="LDT22" s="7"/>
      <c r="LDV22" s="7"/>
      <c r="LDY22" s="7"/>
      <c r="LDZ22" s="8"/>
      <c r="LED22" s="1"/>
      <c r="LEF22" s="8"/>
      <c r="LEI22" s="7"/>
      <c r="LEL22" s="7"/>
      <c r="LEN22" s="7"/>
      <c r="LEQ22" s="7"/>
      <c r="LER22" s="8"/>
      <c r="LEV22" s="1"/>
      <c r="LEX22" s="8"/>
      <c r="LFA22" s="7"/>
      <c r="LFD22" s="7"/>
      <c r="LFF22" s="7"/>
      <c r="LFI22" s="7"/>
      <c r="LFJ22" s="8"/>
      <c r="LFN22" s="1"/>
      <c r="LFP22" s="8"/>
      <c r="LFS22" s="7"/>
      <c r="LFV22" s="7"/>
      <c r="LFX22" s="7"/>
      <c r="LGA22" s="7"/>
      <c r="LGB22" s="8"/>
      <c r="LGF22" s="1"/>
      <c r="LGH22" s="8"/>
      <c r="LGK22" s="7"/>
      <c r="LGN22" s="7"/>
      <c r="LGP22" s="7"/>
      <c r="LGS22" s="7"/>
      <c r="LGT22" s="8"/>
      <c r="LGX22" s="1"/>
      <c r="LGZ22" s="8"/>
      <c r="LHC22" s="7"/>
      <c r="LHF22" s="7"/>
      <c r="LHH22" s="7"/>
      <c r="LHK22" s="7"/>
      <c r="LHL22" s="8"/>
      <c r="LHP22" s="1"/>
      <c r="LHR22" s="8"/>
      <c r="LHU22" s="7"/>
      <c r="LHX22" s="7"/>
      <c r="LHZ22" s="7"/>
      <c r="LIC22" s="7"/>
      <c r="LID22" s="8"/>
      <c r="LIH22" s="1"/>
      <c r="LIJ22" s="8"/>
      <c r="LIM22" s="7"/>
      <c r="LIP22" s="7"/>
      <c r="LIR22" s="7"/>
      <c r="LIU22" s="7"/>
      <c r="LIV22" s="8"/>
      <c r="LIZ22" s="1"/>
      <c r="LJB22" s="8"/>
      <c r="LJE22" s="7"/>
      <c r="LJH22" s="7"/>
      <c r="LJJ22" s="7"/>
      <c r="LJM22" s="7"/>
      <c r="LJN22" s="8"/>
      <c r="LJR22" s="1"/>
      <c r="LJT22" s="8"/>
      <c r="LJW22" s="7"/>
      <c r="LJZ22" s="7"/>
      <c r="LKB22" s="7"/>
      <c r="LKE22" s="7"/>
      <c r="LKF22" s="8"/>
      <c r="LKJ22" s="1"/>
      <c r="LKL22" s="8"/>
      <c r="LKO22" s="7"/>
      <c r="LKR22" s="7"/>
      <c r="LKT22" s="7"/>
      <c r="LKW22" s="7"/>
      <c r="LKX22" s="8"/>
      <c r="LLB22" s="1"/>
      <c r="LLD22" s="8"/>
      <c r="LLG22" s="7"/>
      <c r="LLJ22" s="7"/>
      <c r="LLL22" s="7"/>
      <c r="LLO22" s="7"/>
      <c r="LLP22" s="8"/>
      <c r="LLT22" s="1"/>
      <c r="LLV22" s="8"/>
      <c r="LLY22" s="7"/>
      <c r="LMB22" s="7"/>
      <c r="LMD22" s="7"/>
      <c r="LMG22" s="7"/>
      <c r="LMH22" s="8"/>
      <c r="LML22" s="1"/>
      <c r="LMN22" s="8"/>
      <c r="LMQ22" s="7"/>
      <c r="LMT22" s="7"/>
      <c r="LMV22" s="7"/>
      <c r="LMY22" s="7"/>
      <c r="LMZ22" s="8"/>
      <c r="LND22" s="1"/>
      <c r="LNF22" s="8"/>
      <c r="LNI22" s="7"/>
      <c r="LNL22" s="7"/>
      <c r="LNN22" s="7"/>
      <c r="LNQ22" s="7"/>
      <c r="LNR22" s="8"/>
      <c r="LNV22" s="1"/>
      <c r="LNX22" s="8"/>
      <c r="LOA22" s="7"/>
      <c r="LOD22" s="7"/>
      <c r="LOF22" s="7"/>
      <c r="LOI22" s="7"/>
      <c r="LOJ22" s="8"/>
      <c r="LON22" s="1"/>
      <c r="LOP22" s="8"/>
      <c r="LOS22" s="7"/>
      <c r="LOV22" s="7"/>
      <c r="LOX22" s="7"/>
      <c r="LPA22" s="7"/>
      <c r="LPB22" s="8"/>
      <c r="LPF22" s="1"/>
      <c r="LPH22" s="8"/>
      <c r="LPK22" s="7"/>
      <c r="LPN22" s="7"/>
      <c r="LPP22" s="7"/>
      <c r="LPS22" s="7"/>
      <c r="LPT22" s="8"/>
      <c r="LPX22" s="1"/>
      <c r="LPZ22" s="8"/>
      <c r="LQC22" s="7"/>
      <c r="LQF22" s="7"/>
      <c r="LQH22" s="7"/>
      <c r="LQK22" s="7"/>
      <c r="LQL22" s="8"/>
      <c r="LQP22" s="1"/>
      <c r="LQR22" s="8"/>
      <c r="LQU22" s="7"/>
      <c r="LQX22" s="7"/>
      <c r="LQZ22" s="7"/>
      <c r="LRC22" s="7"/>
      <c r="LRD22" s="8"/>
      <c r="LRH22" s="1"/>
      <c r="LRJ22" s="8"/>
      <c r="LRM22" s="7"/>
      <c r="LRP22" s="7"/>
      <c r="LRR22" s="7"/>
      <c r="LRU22" s="7"/>
      <c r="LRV22" s="8"/>
      <c r="LRZ22" s="1"/>
      <c r="LSB22" s="8"/>
      <c r="LSE22" s="7"/>
      <c r="LSH22" s="7"/>
      <c r="LSJ22" s="7"/>
      <c r="LSM22" s="7"/>
      <c r="LSN22" s="8"/>
      <c r="LSR22" s="1"/>
      <c r="LST22" s="8"/>
      <c r="LSW22" s="7"/>
      <c r="LSZ22" s="7"/>
      <c r="LTB22" s="7"/>
      <c r="LTE22" s="7"/>
      <c r="LTF22" s="8"/>
      <c r="LTJ22" s="1"/>
      <c r="LTL22" s="8"/>
      <c r="LTO22" s="7"/>
      <c r="LTR22" s="7"/>
      <c r="LTT22" s="7"/>
      <c r="LTW22" s="7"/>
      <c r="LTX22" s="8"/>
      <c r="LUB22" s="1"/>
      <c r="LUD22" s="8"/>
      <c r="LUG22" s="7"/>
      <c r="LUJ22" s="7"/>
      <c r="LUL22" s="7"/>
      <c r="LUO22" s="7"/>
      <c r="LUP22" s="8"/>
      <c r="LUT22" s="1"/>
      <c r="LUV22" s="8"/>
      <c r="LUY22" s="7"/>
      <c r="LVB22" s="7"/>
      <c r="LVD22" s="7"/>
      <c r="LVG22" s="7"/>
      <c r="LVH22" s="8"/>
      <c r="LVL22" s="1"/>
      <c r="LVN22" s="8"/>
      <c r="LVQ22" s="7"/>
      <c r="LVT22" s="7"/>
      <c r="LVV22" s="7"/>
      <c r="LVY22" s="7"/>
      <c r="LVZ22" s="8"/>
      <c r="LWD22" s="1"/>
      <c r="LWF22" s="8"/>
      <c r="LWI22" s="7"/>
      <c r="LWL22" s="7"/>
      <c r="LWN22" s="7"/>
      <c r="LWQ22" s="7"/>
      <c r="LWR22" s="8"/>
      <c r="LWV22" s="1"/>
      <c r="LWX22" s="8"/>
      <c r="LXA22" s="7"/>
      <c r="LXD22" s="7"/>
      <c r="LXF22" s="7"/>
      <c r="LXI22" s="7"/>
      <c r="LXJ22" s="8"/>
      <c r="LXN22" s="1"/>
      <c r="LXP22" s="8"/>
      <c r="LXS22" s="7"/>
      <c r="LXV22" s="7"/>
      <c r="LXX22" s="7"/>
      <c r="LYA22" s="7"/>
      <c r="LYB22" s="8"/>
      <c r="LYF22" s="1"/>
      <c r="LYH22" s="8"/>
      <c r="LYK22" s="7"/>
      <c r="LYN22" s="7"/>
      <c r="LYP22" s="7"/>
      <c r="LYS22" s="7"/>
      <c r="LYT22" s="8"/>
      <c r="LYX22" s="1"/>
      <c r="LYZ22" s="8"/>
      <c r="LZC22" s="7"/>
      <c r="LZF22" s="7"/>
      <c r="LZH22" s="7"/>
      <c r="LZK22" s="7"/>
      <c r="LZL22" s="8"/>
      <c r="LZP22" s="1"/>
      <c r="LZR22" s="8"/>
      <c r="LZU22" s="7"/>
      <c r="LZX22" s="7"/>
      <c r="LZZ22" s="7"/>
      <c r="MAC22" s="7"/>
      <c r="MAD22" s="8"/>
      <c r="MAH22" s="1"/>
      <c r="MAJ22" s="8"/>
      <c r="MAM22" s="7"/>
      <c r="MAP22" s="7"/>
      <c r="MAR22" s="7"/>
      <c r="MAU22" s="7"/>
      <c r="MAV22" s="8"/>
      <c r="MAZ22" s="1"/>
      <c r="MBB22" s="8"/>
      <c r="MBE22" s="7"/>
      <c r="MBH22" s="7"/>
      <c r="MBJ22" s="7"/>
      <c r="MBM22" s="7"/>
      <c r="MBN22" s="8"/>
      <c r="MBR22" s="1"/>
      <c r="MBT22" s="8"/>
      <c r="MBW22" s="7"/>
      <c r="MBZ22" s="7"/>
      <c r="MCB22" s="7"/>
      <c r="MCE22" s="7"/>
      <c r="MCF22" s="8"/>
      <c r="MCJ22" s="1"/>
      <c r="MCL22" s="8"/>
      <c r="MCO22" s="7"/>
      <c r="MCR22" s="7"/>
      <c r="MCT22" s="7"/>
      <c r="MCW22" s="7"/>
      <c r="MCX22" s="8"/>
      <c r="MDB22" s="1"/>
      <c r="MDD22" s="8"/>
      <c r="MDG22" s="7"/>
      <c r="MDJ22" s="7"/>
      <c r="MDL22" s="7"/>
      <c r="MDO22" s="7"/>
      <c r="MDP22" s="8"/>
      <c r="MDT22" s="1"/>
      <c r="MDV22" s="8"/>
      <c r="MDY22" s="7"/>
      <c r="MEB22" s="7"/>
      <c r="MED22" s="7"/>
      <c r="MEG22" s="7"/>
      <c r="MEH22" s="8"/>
      <c r="MEL22" s="1"/>
      <c r="MEN22" s="8"/>
      <c r="MEQ22" s="7"/>
      <c r="MET22" s="7"/>
      <c r="MEV22" s="7"/>
      <c r="MEY22" s="7"/>
      <c r="MEZ22" s="8"/>
      <c r="MFD22" s="1"/>
      <c r="MFF22" s="8"/>
      <c r="MFI22" s="7"/>
      <c r="MFL22" s="7"/>
      <c r="MFN22" s="7"/>
      <c r="MFQ22" s="7"/>
      <c r="MFR22" s="8"/>
      <c r="MFV22" s="1"/>
      <c r="MFX22" s="8"/>
      <c r="MGA22" s="7"/>
      <c r="MGD22" s="7"/>
      <c r="MGF22" s="7"/>
      <c r="MGI22" s="7"/>
      <c r="MGJ22" s="8"/>
      <c r="MGN22" s="1"/>
      <c r="MGP22" s="8"/>
      <c r="MGS22" s="7"/>
      <c r="MGV22" s="7"/>
      <c r="MGX22" s="7"/>
      <c r="MHA22" s="7"/>
      <c r="MHB22" s="8"/>
      <c r="MHF22" s="1"/>
      <c r="MHH22" s="8"/>
      <c r="MHK22" s="7"/>
      <c r="MHN22" s="7"/>
      <c r="MHP22" s="7"/>
      <c r="MHS22" s="7"/>
      <c r="MHT22" s="8"/>
      <c r="MHX22" s="1"/>
      <c r="MHZ22" s="8"/>
      <c r="MIC22" s="7"/>
      <c r="MIF22" s="7"/>
      <c r="MIH22" s="7"/>
      <c r="MIK22" s="7"/>
      <c r="MIL22" s="8"/>
      <c r="MIP22" s="1"/>
      <c r="MIR22" s="8"/>
      <c r="MIU22" s="7"/>
      <c r="MIX22" s="7"/>
      <c r="MIZ22" s="7"/>
      <c r="MJC22" s="7"/>
      <c r="MJD22" s="8"/>
      <c r="MJH22" s="1"/>
      <c r="MJJ22" s="8"/>
      <c r="MJM22" s="7"/>
      <c r="MJP22" s="7"/>
      <c r="MJR22" s="7"/>
      <c r="MJU22" s="7"/>
      <c r="MJV22" s="8"/>
      <c r="MJZ22" s="1"/>
      <c r="MKB22" s="8"/>
      <c r="MKE22" s="7"/>
      <c r="MKH22" s="7"/>
      <c r="MKJ22" s="7"/>
      <c r="MKM22" s="7"/>
      <c r="MKN22" s="8"/>
      <c r="MKR22" s="1"/>
      <c r="MKT22" s="8"/>
      <c r="MKW22" s="7"/>
      <c r="MKZ22" s="7"/>
      <c r="MLB22" s="7"/>
      <c r="MLE22" s="7"/>
      <c r="MLF22" s="8"/>
      <c r="MLJ22" s="1"/>
      <c r="MLL22" s="8"/>
      <c r="MLO22" s="7"/>
      <c r="MLR22" s="7"/>
      <c r="MLT22" s="7"/>
      <c r="MLW22" s="7"/>
      <c r="MLX22" s="8"/>
      <c r="MMB22" s="1"/>
      <c r="MMD22" s="8"/>
      <c r="MMG22" s="7"/>
      <c r="MMJ22" s="7"/>
      <c r="MML22" s="7"/>
      <c r="MMO22" s="7"/>
      <c r="MMP22" s="8"/>
      <c r="MMT22" s="1"/>
      <c r="MMV22" s="8"/>
      <c r="MMY22" s="7"/>
      <c r="MNB22" s="7"/>
      <c r="MND22" s="7"/>
      <c r="MNG22" s="7"/>
      <c r="MNH22" s="8"/>
      <c r="MNL22" s="1"/>
      <c r="MNN22" s="8"/>
      <c r="MNQ22" s="7"/>
      <c r="MNT22" s="7"/>
      <c r="MNV22" s="7"/>
      <c r="MNY22" s="7"/>
      <c r="MNZ22" s="8"/>
      <c r="MOD22" s="1"/>
      <c r="MOF22" s="8"/>
      <c r="MOI22" s="7"/>
      <c r="MOL22" s="7"/>
      <c r="MON22" s="7"/>
      <c r="MOQ22" s="7"/>
      <c r="MOR22" s="8"/>
      <c r="MOV22" s="1"/>
      <c r="MOX22" s="8"/>
      <c r="MPA22" s="7"/>
      <c r="MPD22" s="7"/>
      <c r="MPF22" s="7"/>
      <c r="MPI22" s="7"/>
      <c r="MPJ22" s="8"/>
      <c r="MPN22" s="1"/>
      <c r="MPP22" s="8"/>
      <c r="MPS22" s="7"/>
      <c r="MPV22" s="7"/>
      <c r="MPX22" s="7"/>
      <c r="MQA22" s="7"/>
      <c r="MQB22" s="8"/>
      <c r="MQF22" s="1"/>
      <c r="MQH22" s="8"/>
      <c r="MQK22" s="7"/>
      <c r="MQN22" s="7"/>
      <c r="MQP22" s="7"/>
      <c r="MQS22" s="7"/>
      <c r="MQT22" s="8"/>
      <c r="MQX22" s="1"/>
      <c r="MQZ22" s="8"/>
      <c r="MRC22" s="7"/>
      <c r="MRF22" s="7"/>
      <c r="MRH22" s="7"/>
      <c r="MRK22" s="7"/>
      <c r="MRL22" s="8"/>
      <c r="MRP22" s="1"/>
      <c r="MRR22" s="8"/>
      <c r="MRU22" s="7"/>
      <c r="MRX22" s="7"/>
      <c r="MRZ22" s="7"/>
      <c r="MSC22" s="7"/>
      <c r="MSD22" s="8"/>
      <c r="MSH22" s="1"/>
      <c r="MSJ22" s="8"/>
      <c r="MSM22" s="7"/>
      <c r="MSP22" s="7"/>
      <c r="MSR22" s="7"/>
      <c r="MSU22" s="7"/>
      <c r="MSV22" s="8"/>
      <c r="MSZ22" s="1"/>
      <c r="MTB22" s="8"/>
      <c r="MTE22" s="7"/>
      <c r="MTH22" s="7"/>
      <c r="MTJ22" s="7"/>
      <c r="MTM22" s="7"/>
      <c r="MTN22" s="8"/>
      <c r="MTR22" s="1"/>
      <c r="MTT22" s="8"/>
      <c r="MTW22" s="7"/>
      <c r="MTZ22" s="7"/>
      <c r="MUB22" s="7"/>
      <c r="MUE22" s="7"/>
      <c r="MUF22" s="8"/>
      <c r="MUJ22" s="1"/>
      <c r="MUL22" s="8"/>
      <c r="MUO22" s="7"/>
      <c r="MUR22" s="7"/>
      <c r="MUT22" s="7"/>
      <c r="MUW22" s="7"/>
      <c r="MUX22" s="8"/>
      <c r="MVB22" s="1"/>
      <c r="MVD22" s="8"/>
      <c r="MVG22" s="7"/>
      <c r="MVJ22" s="7"/>
      <c r="MVL22" s="7"/>
      <c r="MVO22" s="7"/>
      <c r="MVP22" s="8"/>
      <c r="MVT22" s="1"/>
      <c r="MVV22" s="8"/>
      <c r="MVY22" s="7"/>
      <c r="MWB22" s="7"/>
      <c r="MWD22" s="7"/>
      <c r="MWG22" s="7"/>
      <c r="MWH22" s="8"/>
      <c r="MWL22" s="1"/>
      <c r="MWN22" s="8"/>
      <c r="MWQ22" s="7"/>
      <c r="MWT22" s="7"/>
      <c r="MWV22" s="7"/>
      <c r="MWY22" s="7"/>
      <c r="MWZ22" s="8"/>
      <c r="MXD22" s="1"/>
      <c r="MXF22" s="8"/>
      <c r="MXI22" s="7"/>
      <c r="MXL22" s="7"/>
      <c r="MXN22" s="7"/>
      <c r="MXQ22" s="7"/>
      <c r="MXR22" s="8"/>
      <c r="MXV22" s="1"/>
      <c r="MXX22" s="8"/>
      <c r="MYA22" s="7"/>
      <c r="MYD22" s="7"/>
      <c r="MYF22" s="7"/>
      <c r="MYI22" s="7"/>
      <c r="MYJ22" s="8"/>
      <c r="MYN22" s="1"/>
      <c r="MYP22" s="8"/>
      <c r="MYS22" s="7"/>
      <c r="MYV22" s="7"/>
      <c r="MYX22" s="7"/>
      <c r="MZA22" s="7"/>
      <c r="MZB22" s="8"/>
      <c r="MZF22" s="1"/>
      <c r="MZH22" s="8"/>
      <c r="MZK22" s="7"/>
      <c r="MZN22" s="7"/>
      <c r="MZP22" s="7"/>
      <c r="MZS22" s="7"/>
      <c r="MZT22" s="8"/>
      <c r="MZX22" s="1"/>
      <c r="MZZ22" s="8"/>
      <c r="NAC22" s="7"/>
      <c r="NAF22" s="7"/>
      <c r="NAH22" s="7"/>
      <c r="NAK22" s="7"/>
      <c r="NAL22" s="8"/>
      <c r="NAP22" s="1"/>
      <c r="NAR22" s="8"/>
      <c r="NAU22" s="7"/>
      <c r="NAX22" s="7"/>
      <c r="NAZ22" s="7"/>
      <c r="NBC22" s="7"/>
      <c r="NBD22" s="8"/>
      <c r="NBH22" s="1"/>
      <c r="NBJ22" s="8"/>
      <c r="NBM22" s="7"/>
      <c r="NBP22" s="7"/>
      <c r="NBR22" s="7"/>
      <c r="NBU22" s="7"/>
      <c r="NBV22" s="8"/>
      <c r="NBZ22" s="1"/>
      <c r="NCB22" s="8"/>
      <c r="NCE22" s="7"/>
      <c r="NCH22" s="7"/>
      <c r="NCJ22" s="7"/>
      <c r="NCM22" s="7"/>
      <c r="NCN22" s="8"/>
      <c r="NCR22" s="1"/>
      <c r="NCT22" s="8"/>
      <c r="NCW22" s="7"/>
      <c r="NCZ22" s="7"/>
      <c r="NDB22" s="7"/>
      <c r="NDE22" s="7"/>
      <c r="NDF22" s="8"/>
      <c r="NDJ22" s="1"/>
      <c r="NDL22" s="8"/>
      <c r="NDO22" s="7"/>
      <c r="NDR22" s="7"/>
      <c r="NDT22" s="7"/>
      <c r="NDW22" s="7"/>
      <c r="NDX22" s="8"/>
      <c r="NEB22" s="1"/>
      <c r="NED22" s="8"/>
      <c r="NEG22" s="7"/>
      <c r="NEJ22" s="7"/>
      <c r="NEL22" s="7"/>
      <c r="NEO22" s="7"/>
      <c r="NEP22" s="8"/>
      <c r="NET22" s="1"/>
      <c r="NEV22" s="8"/>
      <c r="NEY22" s="7"/>
      <c r="NFB22" s="7"/>
      <c r="NFD22" s="7"/>
      <c r="NFG22" s="7"/>
      <c r="NFH22" s="8"/>
      <c r="NFL22" s="1"/>
      <c r="NFN22" s="8"/>
      <c r="NFQ22" s="7"/>
      <c r="NFT22" s="7"/>
      <c r="NFV22" s="7"/>
      <c r="NFY22" s="7"/>
      <c r="NFZ22" s="8"/>
      <c r="NGD22" s="1"/>
      <c r="NGF22" s="8"/>
      <c r="NGI22" s="7"/>
      <c r="NGL22" s="7"/>
      <c r="NGN22" s="7"/>
      <c r="NGQ22" s="7"/>
      <c r="NGR22" s="8"/>
      <c r="NGV22" s="1"/>
      <c r="NGX22" s="8"/>
      <c r="NHA22" s="7"/>
      <c r="NHD22" s="7"/>
      <c r="NHF22" s="7"/>
      <c r="NHI22" s="7"/>
      <c r="NHJ22" s="8"/>
      <c r="NHN22" s="1"/>
      <c r="NHP22" s="8"/>
      <c r="NHS22" s="7"/>
      <c r="NHV22" s="7"/>
      <c r="NHX22" s="7"/>
      <c r="NIA22" s="7"/>
      <c r="NIB22" s="8"/>
      <c r="NIF22" s="1"/>
      <c r="NIH22" s="8"/>
      <c r="NIK22" s="7"/>
      <c r="NIN22" s="7"/>
      <c r="NIP22" s="7"/>
      <c r="NIS22" s="7"/>
      <c r="NIT22" s="8"/>
      <c r="NIX22" s="1"/>
      <c r="NIZ22" s="8"/>
      <c r="NJC22" s="7"/>
      <c r="NJF22" s="7"/>
      <c r="NJH22" s="7"/>
      <c r="NJK22" s="7"/>
      <c r="NJL22" s="8"/>
      <c r="NJP22" s="1"/>
      <c r="NJR22" s="8"/>
      <c r="NJU22" s="7"/>
      <c r="NJX22" s="7"/>
      <c r="NJZ22" s="7"/>
      <c r="NKC22" s="7"/>
      <c r="NKD22" s="8"/>
      <c r="NKH22" s="1"/>
      <c r="NKJ22" s="8"/>
      <c r="NKM22" s="7"/>
      <c r="NKP22" s="7"/>
      <c r="NKR22" s="7"/>
      <c r="NKU22" s="7"/>
      <c r="NKV22" s="8"/>
      <c r="NKZ22" s="1"/>
      <c r="NLB22" s="8"/>
      <c r="NLE22" s="7"/>
      <c r="NLH22" s="7"/>
      <c r="NLJ22" s="7"/>
      <c r="NLM22" s="7"/>
      <c r="NLN22" s="8"/>
      <c r="NLR22" s="1"/>
      <c r="NLT22" s="8"/>
      <c r="NLW22" s="7"/>
      <c r="NLZ22" s="7"/>
      <c r="NMB22" s="7"/>
      <c r="NME22" s="7"/>
      <c r="NMF22" s="8"/>
      <c r="NMJ22" s="1"/>
      <c r="NML22" s="8"/>
      <c r="NMO22" s="7"/>
      <c r="NMR22" s="7"/>
      <c r="NMT22" s="7"/>
      <c r="NMW22" s="7"/>
      <c r="NMX22" s="8"/>
      <c r="NNB22" s="1"/>
      <c r="NND22" s="8"/>
      <c r="NNG22" s="7"/>
      <c r="NNJ22" s="7"/>
      <c r="NNL22" s="7"/>
      <c r="NNO22" s="7"/>
      <c r="NNP22" s="8"/>
      <c r="NNT22" s="1"/>
      <c r="NNV22" s="8"/>
      <c r="NNY22" s="7"/>
      <c r="NOB22" s="7"/>
      <c r="NOD22" s="7"/>
      <c r="NOG22" s="7"/>
      <c r="NOH22" s="8"/>
      <c r="NOL22" s="1"/>
      <c r="NON22" s="8"/>
      <c r="NOQ22" s="7"/>
      <c r="NOT22" s="7"/>
      <c r="NOV22" s="7"/>
      <c r="NOY22" s="7"/>
      <c r="NOZ22" s="8"/>
      <c r="NPD22" s="1"/>
      <c r="NPF22" s="8"/>
      <c r="NPI22" s="7"/>
      <c r="NPL22" s="7"/>
      <c r="NPN22" s="7"/>
      <c r="NPQ22" s="7"/>
      <c r="NPR22" s="8"/>
      <c r="NPV22" s="1"/>
      <c r="NPX22" s="8"/>
      <c r="NQA22" s="7"/>
      <c r="NQD22" s="7"/>
      <c r="NQF22" s="7"/>
      <c r="NQI22" s="7"/>
      <c r="NQJ22" s="8"/>
      <c r="NQN22" s="1"/>
      <c r="NQP22" s="8"/>
      <c r="NQS22" s="7"/>
      <c r="NQV22" s="7"/>
      <c r="NQX22" s="7"/>
      <c r="NRA22" s="7"/>
      <c r="NRB22" s="8"/>
      <c r="NRF22" s="1"/>
      <c r="NRH22" s="8"/>
      <c r="NRK22" s="7"/>
      <c r="NRN22" s="7"/>
      <c r="NRP22" s="7"/>
      <c r="NRS22" s="7"/>
      <c r="NRT22" s="8"/>
      <c r="NRX22" s="1"/>
      <c r="NRZ22" s="8"/>
      <c r="NSC22" s="7"/>
      <c r="NSF22" s="7"/>
      <c r="NSH22" s="7"/>
      <c r="NSK22" s="7"/>
      <c r="NSL22" s="8"/>
      <c r="NSP22" s="1"/>
      <c r="NSR22" s="8"/>
      <c r="NSU22" s="7"/>
      <c r="NSX22" s="7"/>
      <c r="NSZ22" s="7"/>
      <c r="NTC22" s="7"/>
      <c r="NTD22" s="8"/>
      <c r="NTH22" s="1"/>
      <c r="NTJ22" s="8"/>
      <c r="NTM22" s="7"/>
      <c r="NTP22" s="7"/>
      <c r="NTR22" s="7"/>
      <c r="NTU22" s="7"/>
      <c r="NTV22" s="8"/>
      <c r="NTZ22" s="1"/>
      <c r="NUB22" s="8"/>
      <c r="NUE22" s="7"/>
      <c r="NUH22" s="7"/>
      <c r="NUJ22" s="7"/>
      <c r="NUM22" s="7"/>
      <c r="NUN22" s="8"/>
      <c r="NUR22" s="1"/>
      <c r="NUT22" s="8"/>
      <c r="NUW22" s="7"/>
      <c r="NUZ22" s="7"/>
      <c r="NVB22" s="7"/>
      <c r="NVE22" s="7"/>
      <c r="NVF22" s="8"/>
      <c r="NVJ22" s="1"/>
      <c r="NVL22" s="8"/>
      <c r="NVO22" s="7"/>
      <c r="NVR22" s="7"/>
      <c r="NVT22" s="7"/>
      <c r="NVW22" s="7"/>
      <c r="NVX22" s="8"/>
      <c r="NWB22" s="1"/>
      <c r="NWD22" s="8"/>
      <c r="NWG22" s="7"/>
      <c r="NWJ22" s="7"/>
      <c r="NWL22" s="7"/>
      <c r="NWO22" s="7"/>
      <c r="NWP22" s="8"/>
      <c r="NWT22" s="1"/>
      <c r="NWV22" s="8"/>
      <c r="NWY22" s="7"/>
      <c r="NXB22" s="7"/>
      <c r="NXD22" s="7"/>
      <c r="NXG22" s="7"/>
      <c r="NXH22" s="8"/>
      <c r="NXL22" s="1"/>
      <c r="NXN22" s="8"/>
      <c r="NXQ22" s="7"/>
      <c r="NXT22" s="7"/>
      <c r="NXV22" s="7"/>
      <c r="NXY22" s="7"/>
      <c r="NXZ22" s="8"/>
      <c r="NYD22" s="1"/>
      <c r="NYF22" s="8"/>
      <c r="NYI22" s="7"/>
      <c r="NYL22" s="7"/>
      <c r="NYN22" s="7"/>
      <c r="NYQ22" s="7"/>
      <c r="NYR22" s="8"/>
      <c r="NYV22" s="1"/>
      <c r="NYX22" s="8"/>
      <c r="NZA22" s="7"/>
      <c r="NZD22" s="7"/>
      <c r="NZF22" s="7"/>
      <c r="NZI22" s="7"/>
      <c r="NZJ22" s="8"/>
      <c r="NZN22" s="1"/>
      <c r="NZP22" s="8"/>
      <c r="NZS22" s="7"/>
      <c r="NZV22" s="7"/>
      <c r="NZX22" s="7"/>
      <c r="OAA22" s="7"/>
      <c r="OAB22" s="8"/>
      <c r="OAF22" s="1"/>
      <c r="OAH22" s="8"/>
      <c r="OAK22" s="7"/>
      <c r="OAN22" s="7"/>
      <c r="OAP22" s="7"/>
      <c r="OAS22" s="7"/>
      <c r="OAT22" s="8"/>
      <c r="OAX22" s="1"/>
      <c r="OAZ22" s="8"/>
      <c r="OBC22" s="7"/>
      <c r="OBF22" s="7"/>
      <c r="OBH22" s="7"/>
      <c r="OBK22" s="7"/>
      <c r="OBL22" s="8"/>
      <c r="OBP22" s="1"/>
      <c r="OBR22" s="8"/>
      <c r="OBU22" s="7"/>
      <c r="OBX22" s="7"/>
      <c r="OBZ22" s="7"/>
      <c r="OCC22" s="7"/>
      <c r="OCD22" s="8"/>
      <c r="OCH22" s="1"/>
      <c r="OCJ22" s="8"/>
      <c r="OCM22" s="7"/>
      <c r="OCP22" s="7"/>
      <c r="OCR22" s="7"/>
      <c r="OCU22" s="7"/>
      <c r="OCV22" s="8"/>
      <c r="OCZ22" s="1"/>
      <c r="ODB22" s="8"/>
      <c r="ODE22" s="7"/>
      <c r="ODH22" s="7"/>
      <c r="ODJ22" s="7"/>
      <c r="ODM22" s="7"/>
      <c r="ODN22" s="8"/>
      <c r="ODR22" s="1"/>
      <c r="ODT22" s="8"/>
      <c r="ODW22" s="7"/>
      <c r="ODZ22" s="7"/>
      <c r="OEB22" s="7"/>
      <c r="OEE22" s="7"/>
      <c r="OEF22" s="8"/>
      <c r="OEJ22" s="1"/>
      <c r="OEL22" s="8"/>
      <c r="OEO22" s="7"/>
      <c r="OER22" s="7"/>
      <c r="OET22" s="7"/>
      <c r="OEW22" s="7"/>
      <c r="OEX22" s="8"/>
      <c r="OFB22" s="1"/>
      <c r="OFD22" s="8"/>
      <c r="OFG22" s="7"/>
      <c r="OFJ22" s="7"/>
      <c r="OFL22" s="7"/>
      <c r="OFO22" s="7"/>
      <c r="OFP22" s="8"/>
      <c r="OFT22" s="1"/>
      <c r="OFV22" s="8"/>
      <c r="OFY22" s="7"/>
      <c r="OGB22" s="7"/>
      <c r="OGD22" s="7"/>
      <c r="OGG22" s="7"/>
      <c r="OGH22" s="8"/>
      <c r="OGL22" s="1"/>
      <c r="OGN22" s="8"/>
      <c r="OGQ22" s="7"/>
      <c r="OGT22" s="7"/>
      <c r="OGV22" s="7"/>
      <c r="OGY22" s="7"/>
      <c r="OGZ22" s="8"/>
      <c r="OHD22" s="1"/>
      <c r="OHF22" s="8"/>
      <c r="OHI22" s="7"/>
      <c r="OHL22" s="7"/>
      <c r="OHN22" s="7"/>
      <c r="OHQ22" s="7"/>
      <c r="OHR22" s="8"/>
      <c r="OHV22" s="1"/>
      <c r="OHX22" s="8"/>
      <c r="OIA22" s="7"/>
      <c r="OID22" s="7"/>
      <c r="OIF22" s="7"/>
      <c r="OII22" s="7"/>
      <c r="OIJ22" s="8"/>
      <c r="OIN22" s="1"/>
      <c r="OIP22" s="8"/>
      <c r="OIS22" s="7"/>
      <c r="OIV22" s="7"/>
      <c r="OIX22" s="7"/>
      <c r="OJA22" s="7"/>
      <c r="OJB22" s="8"/>
      <c r="OJF22" s="1"/>
      <c r="OJH22" s="8"/>
      <c r="OJK22" s="7"/>
      <c r="OJN22" s="7"/>
      <c r="OJP22" s="7"/>
      <c r="OJS22" s="7"/>
      <c r="OJT22" s="8"/>
      <c r="OJX22" s="1"/>
      <c r="OJZ22" s="8"/>
      <c r="OKC22" s="7"/>
      <c r="OKF22" s="7"/>
      <c r="OKH22" s="7"/>
      <c r="OKK22" s="7"/>
      <c r="OKL22" s="8"/>
      <c r="OKP22" s="1"/>
      <c r="OKR22" s="8"/>
      <c r="OKU22" s="7"/>
      <c r="OKX22" s="7"/>
      <c r="OKZ22" s="7"/>
      <c r="OLC22" s="7"/>
      <c r="OLD22" s="8"/>
      <c r="OLH22" s="1"/>
      <c r="OLJ22" s="8"/>
      <c r="OLM22" s="7"/>
      <c r="OLP22" s="7"/>
      <c r="OLR22" s="7"/>
      <c r="OLU22" s="7"/>
      <c r="OLV22" s="8"/>
      <c r="OLZ22" s="1"/>
      <c r="OMB22" s="8"/>
      <c r="OME22" s="7"/>
      <c r="OMH22" s="7"/>
      <c r="OMJ22" s="7"/>
      <c r="OMM22" s="7"/>
      <c r="OMN22" s="8"/>
      <c r="OMR22" s="1"/>
      <c r="OMT22" s="8"/>
      <c r="OMW22" s="7"/>
      <c r="OMZ22" s="7"/>
      <c r="ONB22" s="7"/>
      <c r="ONE22" s="7"/>
      <c r="ONF22" s="8"/>
      <c r="ONJ22" s="1"/>
      <c r="ONL22" s="8"/>
      <c r="ONO22" s="7"/>
      <c r="ONR22" s="7"/>
      <c r="ONT22" s="7"/>
      <c r="ONW22" s="7"/>
      <c r="ONX22" s="8"/>
      <c r="OOB22" s="1"/>
      <c r="OOD22" s="8"/>
      <c r="OOG22" s="7"/>
      <c r="OOJ22" s="7"/>
      <c r="OOL22" s="7"/>
      <c r="OOO22" s="7"/>
      <c r="OOP22" s="8"/>
      <c r="OOT22" s="1"/>
      <c r="OOV22" s="8"/>
      <c r="OOY22" s="7"/>
      <c r="OPB22" s="7"/>
      <c r="OPD22" s="7"/>
      <c r="OPG22" s="7"/>
      <c r="OPH22" s="8"/>
      <c r="OPL22" s="1"/>
      <c r="OPN22" s="8"/>
      <c r="OPQ22" s="7"/>
      <c r="OPT22" s="7"/>
      <c r="OPV22" s="7"/>
      <c r="OPY22" s="7"/>
      <c r="OPZ22" s="8"/>
      <c r="OQD22" s="1"/>
      <c r="OQF22" s="8"/>
      <c r="OQI22" s="7"/>
      <c r="OQL22" s="7"/>
      <c r="OQN22" s="7"/>
      <c r="OQQ22" s="7"/>
      <c r="OQR22" s="8"/>
      <c r="OQV22" s="1"/>
      <c r="OQX22" s="8"/>
      <c r="ORA22" s="7"/>
      <c r="ORD22" s="7"/>
      <c r="ORF22" s="7"/>
      <c r="ORI22" s="7"/>
      <c r="ORJ22" s="8"/>
      <c r="ORN22" s="1"/>
      <c r="ORP22" s="8"/>
      <c r="ORS22" s="7"/>
      <c r="ORV22" s="7"/>
      <c r="ORX22" s="7"/>
      <c r="OSA22" s="7"/>
      <c r="OSB22" s="8"/>
      <c r="OSF22" s="1"/>
      <c r="OSH22" s="8"/>
      <c r="OSK22" s="7"/>
      <c r="OSN22" s="7"/>
      <c r="OSP22" s="7"/>
      <c r="OSS22" s="7"/>
      <c r="OST22" s="8"/>
      <c r="OSX22" s="1"/>
      <c r="OSZ22" s="8"/>
      <c r="OTC22" s="7"/>
      <c r="OTF22" s="7"/>
      <c r="OTH22" s="7"/>
      <c r="OTK22" s="7"/>
      <c r="OTL22" s="8"/>
      <c r="OTP22" s="1"/>
      <c r="OTR22" s="8"/>
      <c r="OTU22" s="7"/>
      <c r="OTX22" s="7"/>
      <c r="OTZ22" s="7"/>
      <c r="OUC22" s="7"/>
      <c r="OUD22" s="8"/>
      <c r="OUH22" s="1"/>
      <c r="OUJ22" s="8"/>
      <c r="OUM22" s="7"/>
      <c r="OUP22" s="7"/>
      <c r="OUR22" s="7"/>
      <c r="OUU22" s="7"/>
      <c r="OUV22" s="8"/>
      <c r="OUZ22" s="1"/>
      <c r="OVB22" s="8"/>
      <c r="OVE22" s="7"/>
      <c r="OVH22" s="7"/>
      <c r="OVJ22" s="7"/>
      <c r="OVM22" s="7"/>
      <c r="OVN22" s="8"/>
      <c r="OVR22" s="1"/>
      <c r="OVT22" s="8"/>
      <c r="OVW22" s="7"/>
      <c r="OVZ22" s="7"/>
      <c r="OWB22" s="7"/>
      <c r="OWE22" s="7"/>
      <c r="OWF22" s="8"/>
      <c r="OWJ22" s="1"/>
      <c r="OWL22" s="8"/>
      <c r="OWO22" s="7"/>
      <c r="OWR22" s="7"/>
      <c r="OWT22" s="7"/>
      <c r="OWW22" s="7"/>
      <c r="OWX22" s="8"/>
      <c r="OXB22" s="1"/>
      <c r="OXD22" s="8"/>
      <c r="OXG22" s="7"/>
      <c r="OXJ22" s="7"/>
      <c r="OXL22" s="7"/>
      <c r="OXO22" s="7"/>
      <c r="OXP22" s="8"/>
      <c r="OXT22" s="1"/>
      <c r="OXV22" s="8"/>
      <c r="OXY22" s="7"/>
      <c r="OYB22" s="7"/>
      <c r="OYD22" s="7"/>
      <c r="OYG22" s="7"/>
      <c r="OYH22" s="8"/>
      <c r="OYL22" s="1"/>
      <c r="OYN22" s="8"/>
      <c r="OYQ22" s="7"/>
      <c r="OYT22" s="7"/>
      <c r="OYV22" s="7"/>
      <c r="OYY22" s="7"/>
      <c r="OYZ22" s="8"/>
      <c r="OZD22" s="1"/>
      <c r="OZF22" s="8"/>
      <c r="OZI22" s="7"/>
      <c r="OZL22" s="7"/>
      <c r="OZN22" s="7"/>
      <c r="OZQ22" s="7"/>
      <c r="OZR22" s="8"/>
      <c r="OZV22" s="1"/>
      <c r="OZX22" s="8"/>
      <c r="PAA22" s="7"/>
      <c r="PAD22" s="7"/>
      <c r="PAF22" s="7"/>
      <c r="PAI22" s="7"/>
      <c r="PAJ22" s="8"/>
      <c r="PAN22" s="1"/>
      <c r="PAP22" s="8"/>
      <c r="PAS22" s="7"/>
      <c r="PAV22" s="7"/>
      <c r="PAX22" s="7"/>
      <c r="PBA22" s="7"/>
      <c r="PBB22" s="8"/>
      <c r="PBF22" s="1"/>
      <c r="PBH22" s="8"/>
      <c r="PBK22" s="7"/>
      <c r="PBN22" s="7"/>
      <c r="PBP22" s="7"/>
      <c r="PBS22" s="7"/>
      <c r="PBT22" s="8"/>
      <c r="PBX22" s="1"/>
      <c r="PBZ22" s="8"/>
      <c r="PCC22" s="7"/>
      <c r="PCF22" s="7"/>
      <c r="PCH22" s="7"/>
      <c r="PCK22" s="7"/>
      <c r="PCL22" s="8"/>
      <c r="PCP22" s="1"/>
      <c r="PCR22" s="8"/>
      <c r="PCU22" s="7"/>
      <c r="PCX22" s="7"/>
      <c r="PCZ22" s="7"/>
      <c r="PDC22" s="7"/>
      <c r="PDD22" s="8"/>
      <c r="PDH22" s="1"/>
      <c r="PDJ22" s="8"/>
      <c r="PDM22" s="7"/>
      <c r="PDP22" s="7"/>
      <c r="PDR22" s="7"/>
      <c r="PDU22" s="7"/>
      <c r="PDV22" s="8"/>
      <c r="PDZ22" s="1"/>
      <c r="PEB22" s="8"/>
      <c r="PEE22" s="7"/>
      <c r="PEH22" s="7"/>
      <c r="PEJ22" s="7"/>
      <c r="PEM22" s="7"/>
      <c r="PEN22" s="8"/>
      <c r="PER22" s="1"/>
      <c r="PET22" s="8"/>
      <c r="PEW22" s="7"/>
      <c r="PEZ22" s="7"/>
      <c r="PFB22" s="7"/>
      <c r="PFE22" s="7"/>
      <c r="PFF22" s="8"/>
      <c r="PFJ22" s="1"/>
      <c r="PFL22" s="8"/>
      <c r="PFO22" s="7"/>
      <c r="PFR22" s="7"/>
      <c r="PFT22" s="7"/>
      <c r="PFW22" s="7"/>
      <c r="PFX22" s="8"/>
      <c r="PGB22" s="1"/>
      <c r="PGD22" s="8"/>
      <c r="PGG22" s="7"/>
      <c r="PGJ22" s="7"/>
      <c r="PGL22" s="7"/>
      <c r="PGO22" s="7"/>
      <c r="PGP22" s="8"/>
      <c r="PGT22" s="1"/>
      <c r="PGV22" s="8"/>
      <c r="PGY22" s="7"/>
      <c r="PHB22" s="7"/>
      <c r="PHD22" s="7"/>
      <c r="PHG22" s="7"/>
      <c r="PHH22" s="8"/>
      <c r="PHL22" s="1"/>
      <c r="PHN22" s="8"/>
      <c r="PHQ22" s="7"/>
      <c r="PHT22" s="7"/>
      <c r="PHV22" s="7"/>
      <c r="PHY22" s="7"/>
      <c r="PHZ22" s="8"/>
      <c r="PID22" s="1"/>
      <c r="PIF22" s="8"/>
      <c r="PII22" s="7"/>
      <c r="PIL22" s="7"/>
      <c r="PIN22" s="7"/>
      <c r="PIQ22" s="7"/>
      <c r="PIR22" s="8"/>
      <c r="PIV22" s="1"/>
      <c r="PIX22" s="8"/>
      <c r="PJA22" s="7"/>
      <c r="PJD22" s="7"/>
      <c r="PJF22" s="7"/>
      <c r="PJI22" s="7"/>
      <c r="PJJ22" s="8"/>
      <c r="PJN22" s="1"/>
      <c r="PJP22" s="8"/>
      <c r="PJS22" s="7"/>
      <c r="PJV22" s="7"/>
      <c r="PJX22" s="7"/>
      <c r="PKA22" s="7"/>
      <c r="PKB22" s="8"/>
      <c r="PKF22" s="1"/>
      <c r="PKH22" s="8"/>
      <c r="PKK22" s="7"/>
      <c r="PKN22" s="7"/>
      <c r="PKP22" s="7"/>
      <c r="PKS22" s="7"/>
      <c r="PKT22" s="8"/>
      <c r="PKX22" s="1"/>
      <c r="PKZ22" s="8"/>
      <c r="PLC22" s="7"/>
      <c r="PLF22" s="7"/>
      <c r="PLH22" s="7"/>
      <c r="PLK22" s="7"/>
      <c r="PLL22" s="8"/>
      <c r="PLP22" s="1"/>
      <c r="PLR22" s="8"/>
      <c r="PLU22" s="7"/>
      <c r="PLX22" s="7"/>
      <c r="PLZ22" s="7"/>
      <c r="PMC22" s="7"/>
      <c r="PMD22" s="8"/>
      <c r="PMH22" s="1"/>
      <c r="PMJ22" s="8"/>
      <c r="PMM22" s="7"/>
      <c r="PMP22" s="7"/>
      <c r="PMR22" s="7"/>
      <c r="PMU22" s="7"/>
      <c r="PMV22" s="8"/>
      <c r="PMZ22" s="1"/>
      <c r="PNB22" s="8"/>
      <c r="PNE22" s="7"/>
      <c r="PNH22" s="7"/>
      <c r="PNJ22" s="7"/>
      <c r="PNM22" s="7"/>
      <c r="PNN22" s="8"/>
      <c r="PNR22" s="1"/>
      <c r="PNT22" s="8"/>
      <c r="PNW22" s="7"/>
      <c r="PNZ22" s="7"/>
      <c r="POB22" s="7"/>
      <c r="POE22" s="7"/>
      <c r="POF22" s="8"/>
      <c r="POJ22" s="1"/>
      <c r="POL22" s="8"/>
      <c r="POO22" s="7"/>
      <c r="POR22" s="7"/>
      <c r="POT22" s="7"/>
      <c r="POW22" s="7"/>
      <c r="POX22" s="8"/>
      <c r="PPB22" s="1"/>
      <c r="PPD22" s="8"/>
      <c r="PPG22" s="7"/>
      <c r="PPJ22" s="7"/>
      <c r="PPL22" s="7"/>
      <c r="PPO22" s="7"/>
      <c r="PPP22" s="8"/>
      <c r="PPT22" s="1"/>
      <c r="PPV22" s="8"/>
      <c r="PPY22" s="7"/>
      <c r="PQB22" s="7"/>
      <c r="PQD22" s="7"/>
      <c r="PQG22" s="7"/>
      <c r="PQH22" s="8"/>
      <c r="PQL22" s="1"/>
      <c r="PQN22" s="8"/>
      <c r="PQQ22" s="7"/>
      <c r="PQT22" s="7"/>
      <c r="PQV22" s="7"/>
      <c r="PQY22" s="7"/>
      <c r="PQZ22" s="8"/>
      <c r="PRD22" s="1"/>
      <c r="PRF22" s="8"/>
      <c r="PRI22" s="7"/>
      <c r="PRL22" s="7"/>
      <c r="PRN22" s="7"/>
      <c r="PRQ22" s="7"/>
      <c r="PRR22" s="8"/>
      <c r="PRV22" s="1"/>
      <c r="PRX22" s="8"/>
      <c r="PSA22" s="7"/>
      <c r="PSD22" s="7"/>
      <c r="PSF22" s="7"/>
      <c r="PSI22" s="7"/>
      <c r="PSJ22" s="8"/>
      <c r="PSN22" s="1"/>
      <c r="PSP22" s="8"/>
      <c r="PSS22" s="7"/>
      <c r="PSV22" s="7"/>
      <c r="PSX22" s="7"/>
      <c r="PTA22" s="7"/>
      <c r="PTB22" s="8"/>
      <c r="PTF22" s="1"/>
      <c r="PTH22" s="8"/>
      <c r="PTK22" s="7"/>
      <c r="PTN22" s="7"/>
      <c r="PTP22" s="7"/>
      <c r="PTS22" s="7"/>
      <c r="PTT22" s="8"/>
      <c r="PTX22" s="1"/>
      <c r="PTZ22" s="8"/>
      <c r="PUC22" s="7"/>
      <c r="PUF22" s="7"/>
      <c r="PUH22" s="7"/>
      <c r="PUK22" s="7"/>
      <c r="PUL22" s="8"/>
      <c r="PUP22" s="1"/>
      <c r="PUR22" s="8"/>
      <c r="PUU22" s="7"/>
      <c r="PUX22" s="7"/>
      <c r="PUZ22" s="7"/>
      <c r="PVC22" s="7"/>
      <c r="PVD22" s="8"/>
      <c r="PVH22" s="1"/>
      <c r="PVJ22" s="8"/>
      <c r="PVM22" s="7"/>
      <c r="PVP22" s="7"/>
      <c r="PVR22" s="7"/>
      <c r="PVU22" s="7"/>
      <c r="PVV22" s="8"/>
      <c r="PVZ22" s="1"/>
      <c r="PWB22" s="8"/>
      <c r="PWE22" s="7"/>
      <c r="PWH22" s="7"/>
      <c r="PWJ22" s="7"/>
      <c r="PWM22" s="7"/>
      <c r="PWN22" s="8"/>
      <c r="PWR22" s="1"/>
      <c r="PWT22" s="8"/>
      <c r="PWW22" s="7"/>
      <c r="PWZ22" s="7"/>
      <c r="PXB22" s="7"/>
      <c r="PXE22" s="7"/>
      <c r="PXF22" s="8"/>
      <c r="PXJ22" s="1"/>
      <c r="PXL22" s="8"/>
      <c r="PXO22" s="7"/>
      <c r="PXR22" s="7"/>
      <c r="PXT22" s="7"/>
      <c r="PXW22" s="7"/>
      <c r="PXX22" s="8"/>
      <c r="PYB22" s="1"/>
      <c r="PYD22" s="8"/>
      <c r="PYG22" s="7"/>
      <c r="PYJ22" s="7"/>
      <c r="PYL22" s="7"/>
      <c r="PYO22" s="7"/>
      <c r="PYP22" s="8"/>
      <c r="PYT22" s="1"/>
      <c r="PYV22" s="8"/>
      <c r="PYY22" s="7"/>
      <c r="PZB22" s="7"/>
      <c r="PZD22" s="7"/>
      <c r="PZG22" s="7"/>
      <c r="PZH22" s="8"/>
      <c r="PZL22" s="1"/>
      <c r="PZN22" s="8"/>
      <c r="PZQ22" s="7"/>
      <c r="PZT22" s="7"/>
      <c r="PZV22" s="7"/>
      <c r="PZY22" s="7"/>
      <c r="PZZ22" s="8"/>
      <c r="QAD22" s="1"/>
      <c r="QAF22" s="8"/>
      <c r="QAI22" s="7"/>
      <c r="QAL22" s="7"/>
      <c r="QAN22" s="7"/>
      <c r="QAQ22" s="7"/>
      <c r="QAR22" s="8"/>
      <c r="QAV22" s="1"/>
      <c r="QAX22" s="8"/>
      <c r="QBA22" s="7"/>
      <c r="QBD22" s="7"/>
      <c r="QBF22" s="7"/>
      <c r="QBI22" s="7"/>
      <c r="QBJ22" s="8"/>
      <c r="QBN22" s="1"/>
      <c r="QBP22" s="8"/>
      <c r="QBS22" s="7"/>
      <c r="QBV22" s="7"/>
      <c r="QBX22" s="7"/>
      <c r="QCA22" s="7"/>
      <c r="QCB22" s="8"/>
      <c r="QCF22" s="1"/>
      <c r="QCH22" s="8"/>
      <c r="QCK22" s="7"/>
      <c r="QCN22" s="7"/>
      <c r="QCP22" s="7"/>
      <c r="QCS22" s="7"/>
      <c r="QCT22" s="8"/>
      <c r="QCX22" s="1"/>
      <c r="QCZ22" s="8"/>
      <c r="QDC22" s="7"/>
      <c r="QDF22" s="7"/>
      <c r="QDH22" s="7"/>
      <c r="QDK22" s="7"/>
      <c r="QDL22" s="8"/>
      <c r="QDP22" s="1"/>
      <c r="QDR22" s="8"/>
      <c r="QDU22" s="7"/>
      <c r="QDX22" s="7"/>
      <c r="QDZ22" s="7"/>
      <c r="QEC22" s="7"/>
      <c r="QED22" s="8"/>
      <c r="QEH22" s="1"/>
      <c r="QEJ22" s="8"/>
      <c r="QEM22" s="7"/>
      <c r="QEP22" s="7"/>
      <c r="QER22" s="7"/>
      <c r="QEU22" s="7"/>
      <c r="QEV22" s="8"/>
      <c r="QEZ22" s="1"/>
      <c r="QFB22" s="8"/>
      <c r="QFE22" s="7"/>
      <c r="QFH22" s="7"/>
      <c r="QFJ22" s="7"/>
      <c r="QFM22" s="7"/>
      <c r="QFN22" s="8"/>
      <c r="QFR22" s="1"/>
      <c r="QFT22" s="8"/>
      <c r="QFW22" s="7"/>
      <c r="QFZ22" s="7"/>
      <c r="QGB22" s="7"/>
      <c r="QGE22" s="7"/>
      <c r="QGF22" s="8"/>
      <c r="QGJ22" s="1"/>
      <c r="QGL22" s="8"/>
      <c r="QGO22" s="7"/>
      <c r="QGR22" s="7"/>
      <c r="QGT22" s="7"/>
      <c r="QGW22" s="7"/>
      <c r="QGX22" s="8"/>
      <c r="QHB22" s="1"/>
      <c r="QHD22" s="8"/>
      <c r="QHG22" s="7"/>
      <c r="QHJ22" s="7"/>
      <c r="QHL22" s="7"/>
      <c r="QHO22" s="7"/>
      <c r="QHP22" s="8"/>
      <c r="QHT22" s="1"/>
      <c r="QHV22" s="8"/>
      <c r="QHY22" s="7"/>
      <c r="QIB22" s="7"/>
      <c r="QID22" s="7"/>
      <c r="QIG22" s="7"/>
      <c r="QIH22" s="8"/>
      <c r="QIL22" s="1"/>
      <c r="QIN22" s="8"/>
      <c r="QIQ22" s="7"/>
      <c r="QIT22" s="7"/>
      <c r="QIV22" s="7"/>
      <c r="QIY22" s="7"/>
      <c r="QIZ22" s="8"/>
      <c r="QJD22" s="1"/>
      <c r="QJF22" s="8"/>
      <c r="QJI22" s="7"/>
      <c r="QJL22" s="7"/>
      <c r="QJN22" s="7"/>
      <c r="QJQ22" s="7"/>
      <c r="QJR22" s="8"/>
      <c r="QJV22" s="1"/>
      <c r="QJX22" s="8"/>
      <c r="QKA22" s="7"/>
      <c r="QKD22" s="7"/>
      <c r="QKF22" s="7"/>
      <c r="QKI22" s="7"/>
      <c r="QKJ22" s="8"/>
      <c r="QKN22" s="1"/>
      <c r="QKP22" s="8"/>
      <c r="QKS22" s="7"/>
      <c r="QKV22" s="7"/>
      <c r="QKX22" s="7"/>
      <c r="QLA22" s="7"/>
      <c r="QLB22" s="8"/>
      <c r="QLF22" s="1"/>
      <c r="QLH22" s="8"/>
      <c r="QLK22" s="7"/>
      <c r="QLN22" s="7"/>
      <c r="QLP22" s="7"/>
      <c r="QLS22" s="7"/>
      <c r="QLT22" s="8"/>
      <c r="QLX22" s="1"/>
      <c r="QLZ22" s="8"/>
      <c r="QMC22" s="7"/>
      <c r="QMF22" s="7"/>
      <c r="QMH22" s="7"/>
      <c r="QMK22" s="7"/>
      <c r="QML22" s="8"/>
      <c r="QMP22" s="1"/>
      <c r="QMR22" s="8"/>
      <c r="QMU22" s="7"/>
      <c r="QMX22" s="7"/>
      <c r="QMZ22" s="7"/>
      <c r="QNC22" s="7"/>
      <c r="QND22" s="8"/>
      <c r="QNH22" s="1"/>
      <c r="QNJ22" s="8"/>
      <c r="QNM22" s="7"/>
      <c r="QNP22" s="7"/>
      <c r="QNR22" s="7"/>
      <c r="QNU22" s="7"/>
      <c r="QNV22" s="8"/>
      <c r="QNZ22" s="1"/>
      <c r="QOB22" s="8"/>
      <c r="QOE22" s="7"/>
      <c r="QOH22" s="7"/>
      <c r="QOJ22" s="7"/>
      <c r="QOM22" s="7"/>
      <c r="QON22" s="8"/>
      <c r="QOR22" s="1"/>
      <c r="QOT22" s="8"/>
      <c r="QOW22" s="7"/>
      <c r="QOZ22" s="7"/>
      <c r="QPB22" s="7"/>
      <c r="QPE22" s="7"/>
      <c r="QPF22" s="8"/>
      <c r="QPJ22" s="1"/>
      <c r="QPL22" s="8"/>
      <c r="QPO22" s="7"/>
      <c r="QPR22" s="7"/>
      <c r="QPT22" s="7"/>
      <c r="QPW22" s="7"/>
      <c r="QPX22" s="8"/>
      <c r="QQB22" s="1"/>
      <c r="QQD22" s="8"/>
      <c r="QQG22" s="7"/>
      <c r="QQJ22" s="7"/>
      <c r="QQL22" s="7"/>
      <c r="QQO22" s="7"/>
      <c r="QQP22" s="8"/>
      <c r="QQT22" s="1"/>
      <c r="QQV22" s="8"/>
      <c r="QQY22" s="7"/>
      <c r="QRB22" s="7"/>
      <c r="QRD22" s="7"/>
      <c r="QRG22" s="7"/>
      <c r="QRH22" s="8"/>
      <c r="QRL22" s="1"/>
      <c r="QRN22" s="8"/>
      <c r="QRQ22" s="7"/>
      <c r="QRT22" s="7"/>
      <c r="QRV22" s="7"/>
      <c r="QRY22" s="7"/>
      <c r="QRZ22" s="8"/>
      <c r="QSD22" s="1"/>
      <c r="QSF22" s="8"/>
      <c r="QSI22" s="7"/>
      <c r="QSL22" s="7"/>
      <c r="QSN22" s="7"/>
      <c r="QSQ22" s="7"/>
      <c r="QSR22" s="8"/>
      <c r="QSV22" s="1"/>
      <c r="QSX22" s="8"/>
      <c r="QTA22" s="7"/>
      <c r="QTD22" s="7"/>
      <c r="QTF22" s="7"/>
      <c r="QTI22" s="7"/>
      <c r="QTJ22" s="8"/>
      <c r="QTN22" s="1"/>
      <c r="QTP22" s="8"/>
      <c r="QTS22" s="7"/>
      <c r="QTV22" s="7"/>
      <c r="QTX22" s="7"/>
      <c r="QUA22" s="7"/>
      <c r="QUB22" s="8"/>
      <c r="QUF22" s="1"/>
      <c r="QUH22" s="8"/>
      <c r="QUK22" s="7"/>
      <c r="QUN22" s="7"/>
      <c r="QUP22" s="7"/>
      <c r="QUS22" s="7"/>
      <c r="QUT22" s="8"/>
      <c r="QUX22" s="1"/>
      <c r="QUZ22" s="8"/>
      <c r="QVC22" s="7"/>
      <c r="QVF22" s="7"/>
      <c r="QVH22" s="7"/>
      <c r="QVK22" s="7"/>
      <c r="QVL22" s="8"/>
      <c r="QVP22" s="1"/>
      <c r="QVR22" s="8"/>
      <c r="QVU22" s="7"/>
      <c r="QVX22" s="7"/>
      <c r="QVZ22" s="7"/>
      <c r="QWC22" s="7"/>
      <c r="QWD22" s="8"/>
      <c r="QWH22" s="1"/>
      <c r="QWJ22" s="8"/>
      <c r="QWM22" s="7"/>
      <c r="QWP22" s="7"/>
      <c r="QWR22" s="7"/>
      <c r="QWU22" s="7"/>
      <c r="QWV22" s="8"/>
      <c r="QWZ22" s="1"/>
      <c r="QXB22" s="8"/>
      <c r="QXE22" s="7"/>
      <c r="QXH22" s="7"/>
      <c r="QXJ22" s="7"/>
      <c r="QXM22" s="7"/>
      <c r="QXN22" s="8"/>
      <c r="QXR22" s="1"/>
      <c r="QXT22" s="8"/>
      <c r="QXW22" s="7"/>
      <c r="QXZ22" s="7"/>
      <c r="QYB22" s="7"/>
      <c r="QYE22" s="7"/>
      <c r="QYF22" s="8"/>
      <c r="QYJ22" s="1"/>
      <c r="QYL22" s="8"/>
      <c r="QYO22" s="7"/>
      <c r="QYR22" s="7"/>
      <c r="QYT22" s="7"/>
      <c r="QYW22" s="7"/>
      <c r="QYX22" s="8"/>
      <c r="QZB22" s="1"/>
      <c r="QZD22" s="8"/>
      <c r="QZG22" s="7"/>
      <c r="QZJ22" s="7"/>
      <c r="QZL22" s="7"/>
      <c r="QZO22" s="7"/>
      <c r="QZP22" s="8"/>
      <c r="QZT22" s="1"/>
      <c r="QZV22" s="8"/>
      <c r="QZY22" s="7"/>
      <c r="RAB22" s="7"/>
      <c r="RAD22" s="7"/>
      <c r="RAG22" s="7"/>
      <c r="RAH22" s="8"/>
      <c r="RAL22" s="1"/>
      <c r="RAN22" s="8"/>
      <c r="RAQ22" s="7"/>
      <c r="RAT22" s="7"/>
      <c r="RAV22" s="7"/>
      <c r="RAY22" s="7"/>
      <c r="RAZ22" s="8"/>
      <c r="RBD22" s="1"/>
      <c r="RBF22" s="8"/>
      <c r="RBI22" s="7"/>
      <c r="RBL22" s="7"/>
      <c r="RBN22" s="7"/>
      <c r="RBQ22" s="7"/>
      <c r="RBR22" s="8"/>
      <c r="RBV22" s="1"/>
      <c r="RBX22" s="8"/>
      <c r="RCA22" s="7"/>
      <c r="RCD22" s="7"/>
      <c r="RCF22" s="7"/>
      <c r="RCI22" s="7"/>
      <c r="RCJ22" s="8"/>
      <c r="RCN22" s="1"/>
      <c r="RCP22" s="8"/>
      <c r="RCS22" s="7"/>
      <c r="RCV22" s="7"/>
      <c r="RCX22" s="7"/>
      <c r="RDA22" s="7"/>
      <c r="RDB22" s="8"/>
      <c r="RDF22" s="1"/>
      <c r="RDH22" s="8"/>
      <c r="RDK22" s="7"/>
      <c r="RDN22" s="7"/>
      <c r="RDP22" s="7"/>
      <c r="RDS22" s="7"/>
      <c r="RDT22" s="8"/>
      <c r="RDX22" s="1"/>
      <c r="RDZ22" s="8"/>
      <c r="REC22" s="7"/>
      <c r="REF22" s="7"/>
      <c r="REH22" s="7"/>
      <c r="REK22" s="7"/>
      <c r="REL22" s="8"/>
      <c r="REP22" s="1"/>
      <c r="RER22" s="8"/>
      <c r="REU22" s="7"/>
      <c r="REX22" s="7"/>
      <c r="REZ22" s="7"/>
      <c r="RFC22" s="7"/>
      <c r="RFD22" s="8"/>
      <c r="RFH22" s="1"/>
      <c r="RFJ22" s="8"/>
      <c r="RFM22" s="7"/>
      <c r="RFP22" s="7"/>
      <c r="RFR22" s="7"/>
      <c r="RFU22" s="7"/>
      <c r="RFV22" s="8"/>
      <c r="RFZ22" s="1"/>
      <c r="RGB22" s="8"/>
      <c r="RGE22" s="7"/>
      <c r="RGH22" s="7"/>
      <c r="RGJ22" s="7"/>
      <c r="RGM22" s="7"/>
      <c r="RGN22" s="8"/>
      <c r="RGR22" s="1"/>
      <c r="RGT22" s="8"/>
      <c r="RGW22" s="7"/>
      <c r="RGZ22" s="7"/>
      <c r="RHB22" s="7"/>
      <c r="RHE22" s="7"/>
      <c r="RHF22" s="8"/>
      <c r="RHJ22" s="1"/>
      <c r="RHL22" s="8"/>
      <c r="RHO22" s="7"/>
      <c r="RHR22" s="7"/>
      <c r="RHT22" s="7"/>
      <c r="RHW22" s="7"/>
      <c r="RHX22" s="8"/>
      <c r="RIB22" s="1"/>
      <c r="RID22" s="8"/>
      <c r="RIG22" s="7"/>
      <c r="RIJ22" s="7"/>
      <c r="RIL22" s="7"/>
      <c r="RIO22" s="7"/>
      <c r="RIP22" s="8"/>
      <c r="RIT22" s="1"/>
      <c r="RIV22" s="8"/>
      <c r="RIY22" s="7"/>
      <c r="RJB22" s="7"/>
      <c r="RJD22" s="7"/>
      <c r="RJG22" s="7"/>
      <c r="RJH22" s="8"/>
      <c r="RJL22" s="1"/>
      <c r="RJN22" s="8"/>
      <c r="RJQ22" s="7"/>
      <c r="RJT22" s="7"/>
      <c r="RJV22" s="7"/>
      <c r="RJY22" s="7"/>
      <c r="RJZ22" s="8"/>
      <c r="RKD22" s="1"/>
      <c r="RKF22" s="8"/>
      <c r="RKI22" s="7"/>
      <c r="RKL22" s="7"/>
      <c r="RKN22" s="7"/>
      <c r="RKQ22" s="7"/>
      <c r="RKR22" s="8"/>
      <c r="RKV22" s="1"/>
      <c r="RKX22" s="8"/>
      <c r="RLA22" s="7"/>
      <c r="RLD22" s="7"/>
      <c r="RLF22" s="7"/>
      <c r="RLI22" s="7"/>
      <c r="RLJ22" s="8"/>
      <c r="RLN22" s="1"/>
      <c r="RLP22" s="8"/>
      <c r="RLS22" s="7"/>
      <c r="RLV22" s="7"/>
      <c r="RLX22" s="7"/>
      <c r="RMA22" s="7"/>
      <c r="RMB22" s="8"/>
      <c r="RMF22" s="1"/>
      <c r="RMH22" s="8"/>
      <c r="RMK22" s="7"/>
      <c r="RMN22" s="7"/>
      <c r="RMP22" s="7"/>
      <c r="RMS22" s="7"/>
      <c r="RMT22" s="8"/>
      <c r="RMX22" s="1"/>
      <c r="RMZ22" s="8"/>
      <c r="RNC22" s="7"/>
      <c r="RNF22" s="7"/>
      <c r="RNH22" s="7"/>
      <c r="RNK22" s="7"/>
      <c r="RNL22" s="8"/>
      <c r="RNP22" s="1"/>
      <c r="RNR22" s="8"/>
      <c r="RNU22" s="7"/>
      <c r="RNX22" s="7"/>
      <c r="RNZ22" s="7"/>
      <c r="ROC22" s="7"/>
      <c r="ROD22" s="8"/>
      <c r="ROH22" s="1"/>
      <c r="ROJ22" s="8"/>
      <c r="ROM22" s="7"/>
      <c r="ROP22" s="7"/>
      <c r="ROR22" s="7"/>
      <c r="ROU22" s="7"/>
      <c r="ROV22" s="8"/>
      <c r="ROZ22" s="1"/>
      <c r="RPB22" s="8"/>
      <c r="RPE22" s="7"/>
      <c r="RPH22" s="7"/>
      <c r="RPJ22" s="7"/>
      <c r="RPM22" s="7"/>
      <c r="RPN22" s="8"/>
      <c r="RPR22" s="1"/>
      <c r="RPT22" s="8"/>
      <c r="RPW22" s="7"/>
      <c r="RPZ22" s="7"/>
      <c r="RQB22" s="7"/>
      <c r="RQE22" s="7"/>
      <c r="RQF22" s="8"/>
      <c r="RQJ22" s="1"/>
      <c r="RQL22" s="8"/>
      <c r="RQO22" s="7"/>
      <c r="RQR22" s="7"/>
      <c r="RQT22" s="7"/>
      <c r="RQW22" s="7"/>
      <c r="RQX22" s="8"/>
      <c r="RRB22" s="1"/>
      <c r="RRD22" s="8"/>
      <c r="RRG22" s="7"/>
      <c r="RRJ22" s="7"/>
      <c r="RRL22" s="7"/>
      <c r="RRO22" s="7"/>
      <c r="RRP22" s="8"/>
      <c r="RRT22" s="1"/>
      <c r="RRV22" s="8"/>
      <c r="RRY22" s="7"/>
      <c r="RSB22" s="7"/>
      <c r="RSD22" s="7"/>
      <c r="RSG22" s="7"/>
      <c r="RSH22" s="8"/>
      <c r="RSL22" s="1"/>
      <c r="RSN22" s="8"/>
      <c r="RSQ22" s="7"/>
      <c r="RST22" s="7"/>
      <c r="RSV22" s="7"/>
      <c r="RSY22" s="7"/>
      <c r="RSZ22" s="8"/>
      <c r="RTD22" s="1"/>
      <c r="RTF22" s="8"/>
      <c r="RTI22" s="7"/>
      <c r="RTL22" s="7"/>
      <c r="RTN22" s="7"/>
      <c r="RTQ22" s="7"/>
      <c r="RTR22" s="8"/>
      <c r="RTV22" s="1"/>
      <c r="RTX22" s="8"/>
      <c r="RUA22" s="7"/>
      <c r="RUD22" s="7"/>
      <c r="RUF22" s="7"/>
      <c r="RUI22" s="7"/>
      <c r="RUJ22" s="8"/>
      <c r="RUN22" s="1"/>
      <c r="RUP22" s="8"/>
      <c r="RUS22" s="7"/>
      <c r="RUV22" s="7"/>
      <c r="RUX22" s="7"/>
      <c r="RVA22" s="7"/>
      <c r="RVB22" s="8"/>
      <c r="RVF22" s="1"/>
      <c r="RVH22" s="8"/>
      <c r="RVK22" s="7"/>
      <c r="RVN22" s="7"/>
      <c r="RVP22" s="7"/>
      <c r="RVS22" s="7"/>
      <c r="RVT22" s="8"/>
      <c r="RVX22" s="1"/>
      <c r="RVZ22" s="8"/>
      <c r="RWC22" s="7"/>
      <c r="RWF22" s="7"/>
      <c r="RWH22" s="7"/>
      <c r="RWK22" s="7"/>
      <c r="RWL22" s="8"/>
      <c r="RWP22" s="1"/>
      <c r="RWR22" s="8"/>
      <c r="RWU22" s="7"/>
      <c r="RWX22" s="7"/>
      <c r="RWZ22" s="7"/>
      <c r="RXC22" s="7"/>
      <c r="RXD22" s="8"/>
      <c r="RXH22" s="1"/>
      <c r="RXJ22" s="8"/>
      <c r="RXM22" s="7"/>
      <c r="RXP22" s="7"/>
      <c r="RXR22" s="7"/>
      <c r="RXU22" s="7"/>
      <c r="RXV22" s="8"/>
      <c r="RXZ22" s="1"/>
      <c r="RYB22" s="8"/>
      <c r="RYE22" s="7"/>
      <c r="RYH22" s="7"/>
      <c r="RYJ22" s="7"/>
      <c r="RYM22" s="7"/>
      <c r="RYN22" s="8"/>
      <c r="RYR22" s="1"/>
      <c r="RYT22" s="8"/>
      <c r="RYW22" s="7"/>
      <c r="RYZ22" s="7"/>
      <c r="RZB22" s="7"/>
      <c r="RZE22" s="7"/>
      <c r="RZF22" s="8"/>
      <c r="RZJ22" s="1"/>
      <c r="RZL22" s="8"/>
      <c r="RZO22" s="7"/>
      <c r="RZR22" s="7"/>
      <c r="RZT22" s="7"/>
      <c r="RZW22" s="7"/>
      <c r="RZX22" s="8"/>
      <c r="SAB22" s="1"/>
      <c r="SAD22" s="8"/>
      <c r="SAG22" s="7"/>
      <c r="SAJ22" s="7"/>
      <c r="SAL22" s="7"/>
      <c r="SAO22" s="7"/>
      <c r="SAP22" s="8"/>
      <c r="SAT22" s="1"/>
      <c r="SAV22" s="8"/>
      <c r="SAY22" s="7"/>
      <c r="SBB22" s="7"/>
      <c r="SBD22" s="7"/>
      <c r="SBG22" s="7"/>
      <c r="SBH22" s="8"/>
      <c r="SBL22" s="1"/>
      <c r="SBN22" s="8"/>
      <c r="SBQ22" s="7"/>
      <c r="SBT22" s="7"/>
      <c r="SBV22" s="7"/>
      <c r="SBY22" s="7"/>
      <c r="SBZ22" s="8"/>
      <c r="SCD22" s="1"/>
      <c r="SCF22" s="8"/>
      <c r="SCI22" s="7"/>
      <c r="SCL22" s="7"/>
      <c r="SCN22" s="7"/>
      <c r="SCQ22" s="7"/>
      <c r="SCR22" s="8"/>
      <c r="SCV22" s="1"/>
      <c r="SCX22" s="8"/>
      <c r="SDA22" s="7"/>
      <c r="SDD22" s="7"/>
      <c r="SDF22" s="7"/>
      <c r="SDI22" s="7"/>
      <c r="SDJ22" s="8"/>
      <c r="SDN22" s="1"/>
      <c r="SDP22" s="8"/>
      <c r="SDS22" s="7"/>
      <c r="SDV22" s="7"/>
      <c r="SDX22" s="7"/>
      <c r="SEA22" s="7"/>
      <c r="SEB22" s="8"/>
      <c r="SEF22" s="1"/>
      <c r="SEH22" s="8"/>
      <c r="SEK22" s="7"/>
      <c r="SEN22" s="7"/>
      <c r="SEP22" s="7"/>
      <c r="SES22" s="7"/>
      <c r="SET22" s="8"/>
      <c r="SEX22" s="1"/>
      <c r="SEZ22" s="8"/>
      <c r="SFC22" s="7"/>
      <c r="SFF22" s="7"/>
      <c r="SFH22" s="7"/>
      <c r="SFK22" s="7"/>
      <c r="SFL22" s="8"/>
      <c r="SFP22" s="1"/>
      <c r="SFR22" s="8"/>
      <c r="SFU22" s="7"/>
      <c r="SFX22" s="7"/>
      <c r="SFZ22" s="7"/>
      <c r="SGC22" s="7"/>
      <c r="SGD22" s="8"/>
      <c r="SGH22" s="1"/>
      <c r="SGJ22" s="8"/>
      <c r="SGM22" s="7"/>
      <c r="SGP22" s="7"/>
      <c r="SGR22" s="7"/>
      <c r="SGU22" s="7"/>
      <c r="SGV22" s="8"/>
      <c r="SGZ22" s="1"/>
      <c r="SHB22" s="8"/>
      <c r="SHE22" s="7"/>
      <c r="SHH22" s="7"/>
      <c r="SHJ22" s="7"/>
      <c r="SHM22" s="7"/>
      <c r="SHN22" s="8"/>
      <c r="SHR22" s="1"/>
      <c r="SHT22" s="8"/>
      <c r="SHW22" s="7"/>
      <c r="SHZ22" s="7"/>
      <c r="SIB22" s="7"/>
      <c r="SIE22" s="7"/>
      <c r="SIF22" s="8"/>
      <c r="SIJ22" s="1"/>
      <c r="SIL22" s="8"/>
      <c r="SIO22" s="7"/>
      <c r="SIR22" s="7"/>
      <c r="SIT22" s="7"/>
      <c r="SIW22" s="7"/>
      <c r="SIX22" s="8"/>
      <c r="SJB22" s="1"/>
      <c r="SJD22" s="8"/>
      <c r="SJG22" s="7"/>
      <c r="SJJ22" s="7"/>
      <c r="SJL22" s="7"/>
      <c r="SJO22" s="7"/>
      <c r="SJP22" s="8"/>
      <c r="SJT22" s="1"/>
      <c r="SJV22" s="8"/>
      <c r="SJY22" s="7"/>
      <c r="SKB22" s="7"/>
      <c r="SKD22" s="7"/>
      <c r="SKG22" s="7"/>
      <c r="SKH22" s="8"/>
      <c r="SKL22" s="1"/>
      <c r="SKN22" s="8"/>
      <c r="SKQ22" s="7"/>
      <c r="SKT22" s="7"/>
      <c r="SKV22" s="7"/>
      <c r="SKY22" s="7"/>
      <c r="SKZ22" s="8"/>
      <c r="SLD22" s="1"/>
      <c r="SLF22" s="8"/>
      <c r="SLI22" s="7"/>
      <c r="SLL22" s="7"/>
      <c r="SLN22" s="7"/>
      <c r="SLQ22" s="7"/>
      <c r="SLR22" s="8"/>
      <c r="SLV22" s="1"/>
      <c r="SLX22" s="8"/>
      <c r="SMA22" s="7"/>
      <c r="SMD22" s="7"/>
      <c r="SMF22" s="7"/>
      <c r="SMI22" s="7"/>
      <c r="SMJ22" s="8"/>
      <c r="SMN22" s="1"/>
      <c r="SMP22" s="8"/>
      <c r="SMS22" s="7"/>
      <c r="SMV22" s="7"/>
      <c r="SMX22" s="7"/>
      <c r="SNA22" s="7"/>
      <c r="SNB22" s="8"/>
      <c r="SNF22" s="1"/>
      <c r="SNH22" s="8"/>
      <c r="SNK22" s="7"/>
      <c r="SNN22" s="7"/>
      <c r="SNP22" s="7"/>
      <c r="SNS22" s="7"/>
      <c r="SNT22" s="8"/>
      <c r="SNX22" s="1"/>
      <c r="SNZ22" s="8"/>
      <c r="SOC22" s="7"/>
      <c r="SOF22" s="7"/>
      <c r="SOH22" s="7"/>
      <c r="SOK22" s="7"/>
      <c r="SOL22" s="8"/>
      <c r="SOP22" s="1"/>
      <c r="SOR22" s="8"/>
      <c r="SOU22" s="7"/>
      <c r="SOX22" s="7"/>
      <c r="SOZ22" s="7"/>
      <c r="SPC22" s="7"/>
      <c r="SPD22" s="8"/>
      <c r="SPH22" s="1"/>
      <c r="SPJ22" s="8"/>
      <c r="SPM22" s="7"/>
      <c r="SPP22" s="7"/>
      <c r="SPR22" s="7"/>
      <c r="SPU22" s="7"/>
      <c r="SPV22" s="8"/>
      <c r="SPZ22" s="1"/>
      <c r="SQB22" s="8"/>
      <c r="SQE22" s="7"/>
      <c r="SQH22" s="7"/>
      <c r="SQJ22" s="7"/>
      <c r="SQM22" s="7"/>
      <c r="SQN22" s="8"/>
      <c r="SQR22" s="1"/>
      <c r="SQT22" s="8"/>
      <c r="SQW22" s="7"/>
      <c r="SQZ22" s="7"/>
      <c r="SRB22" s="7"/>
      <c r="SRE22" s="7"/>
      <c r="SRF22" s="8"/>
      <c r="SRJ22" s="1"/>
      <c r="SRL22" s="8"/>
      <c r="SRO22" s="7"/>
      <c r="SRR22" s="7"/>
      <c r="SRT22" s="7"/>
      <c r="SRW22" s="7"/>
      <c r="SRX22" s="8"/>
      <c r="SSB22" s="1"/>
      <c r="SSD22" s="8"/>
      <c r="SSG22" s="7"/>
      <c r="SSJ22" s="7"/>
      <c r="SSL22" s="7"/>
      <c r="SSO22" s="7"/>
      <c r="SSP22" s="8"/>
      <c r="SST22" s="1"/>
      <c r="SSV22" s="8"/>
      <c r="SSY22" s="7"/>
      <c r="STB22" s="7"/>
      <c r="STD22" s="7"/>
      <c r="STG22" s="7"/>
      <c r="STH22" s="8"/>
      <c r="STL22" s="1"/>
      <c r="STN22" s="8"/>
      <c r="STQ22" s="7"/>
      <c r="STT22" s="7"/>
      <c r="STV22" s="7"/>
      <c r="STY22" s="7"/>
      <c r="STZ22" s="8"/>
      <c r="SUD22" s="1"/>
      <c r="SUF22" s="8"/>
      <c r="SUI22" s="7"/>
      <c r="SUL22" s="7"/>
      <c r="SUN22" s="7"/>
      <c r="SUQ22" s="7"/>
      <c r="SUR22" s="8"/>
      <c r="SUV22" s="1"/>
      <c r="SUX22" s="8"/>
      <c r="SVA22" s="7"/>
      <c r="SVD22" s="7"/>
      <c r="SVF22" s="7"/>
      <c r="SVI22" s="7"/>
      <c r="SVJ22" s="8"/>
      <c r="SVN22" s="1"/>
      <c r="SVP22" s="8"/>
      <c r="SVS22" s="7"/>
      <c r="SVV22" s="7"/>
      <c r="SVX22" s="7"/>
      <c r="SWA22" s="7"/>
      <c r="SWB22" s="8"/>
      <c r="SWF22" s="1"/>
      <c r="SWH22" s="8"/>
      <c r="SWK22" s="7"/>
      <c r="SWN22" s="7"/>
      <c r="SWP22" s="7"/>
      <c r="SWS22" s="7"/>
      <c r="SWT22" s="8"/>
      <c r="SWX22" s="1"/>
      <c r="SWZ22" s="8"/>
      <c r="SXC22" s="7"/>
      <c r="SXF22" s="7"/>
      <c r="SXH22" s="7"/>
      <c r="SXK22" s="7"/>
      <c r="SXL22" s="8"/>
      <c r="SXP22" s="1"/>
      <c r="SXR22" s="8"/>
      <c r="SXU22" s="7"/>
      <c r="SXX22" s="7"/>
      <c r="SXZ22" s="7"/>
      <c r="SYC22" s="7"/>
      <c r="SYD22" s="8"/>
      <c r="SYH22" s="1"/>
      <c r="SYJ22" s="8"/>
      <c r="SYM22" s="7"/>
      <c r="SYP22" s="7"/>
      <c r="SYR22" s="7"/>
      <c r="SYU22" s="7"/>
      <c r="SYV22" s="8"/>
      <c r="SYZ22" s="1"/>
      <c r="SZB22" s="8"/>
      <c r="SZE22" s="7"/>
      <c r="SZH22" s="7"/>
      <c r="SZJ22" s="7"/>
      <c r="SZM22" s="7"/>
      <c r="SZN22" s="8"/>
      <c r="SZR22" s="1"/>
      <c r="SZT22" s="8"/>
      <c r="SZW22" s="7"/>
      <c r="SZZ22" s="7"/>
      <c r="TAB22" s="7"/>
      <c r="TAE22" s="7"/>
      <c r="TAF22" s="8"/>
      <c r="TAJ22" s="1"/>
      <c r="TAL22" s="8"/>
      <c r="TAO22" s="7"/>
      <c r="TAR22" s="7"/>
      <c r="TAT22" s="7"/>
      <c r="TAW22" s="7"/>
      <c r="TAX22" s="8"/>
      <c r="TBB22" s="1"/>
      <c r="TBD22" s="8"/>
      <c r="TBG22" s="7"/>
      <c r="TBJ22" s="7"/>
      <c r="TBL22" s="7"/>
      <c r="TBO22" s="7"/>
      <c r="TBP22" s="8"/>
      <c r="TBT22" s="1"/>
      <c r="TBV22" s="8"/>
      <c r="TBY22" s="7"/>
      <c r="TCB22" s="7"/>
      <c r="TCD22" s="7"/>
      <c r="TCG22" s="7"/>
      <c r="TCH22" s="8"/>
      <c r="TCL22" s="1"/>
      <c r="TCN22" s="8"/>
      <c r="TCQ22" s="7"/>
      <c r="TCT22" s="7"/>
      <c r="TCV22" s="7"/>
      <c r="TCY22" s="7"/>
      <c r="TCZ22" s="8"/>
      <c r="TDD22" s="1"/>
      <c r="TDF22" s="8"/>
      <c r="TDI22" s="7"/>
      <c r="TDL22" s="7"/>
      <c r="TDN22" s="7"/>
      <c r="TDQ22" s="7"/>
      <c r="TDR22" s="8"/>
      <c r="TDV22" s="1"/>
      <c r="TDX22" s="8"/>
      <c r="TEA22" s="7"/>
      <c r="TED22" s="7"/>
      <c r="TEF22" s="7"/>
      <c r="TEI22" s="7"/>
      <c r="TEJ22" s="8"/>
      <c r="TEN22" s="1"/>
      <c r="TEP22" s="8"/>
      <c r="TES22" s="7"/>
      <c r="TEV22" s="7"/>
      <c r="TEX22" s="7"/>
      <c r="TFA22" s="7"/>
      <c r="TFB22" s="8"/>
      <c r="TFF22" s="1"/>
      <c r="TFH22" s="8"/>
      <c r="TFK22" s="7"/>
      <c r="TFN22" s="7"/>
      <c r="TFP22" s="7"/>
      <c r="TFS22" s="7"/>
      <c r="TFT22" s="8"/>
      <c r="TFX22" s="1"/>
      <c r="TFZ22" s="8"/>
      <c r="TGC22" s="7"/>
      <c r="TGF22" s="7"/>
      <c r="TGH22" s="7"/>
      <c r="TGK22" s="7"/>
      <c r="TGL22" s="8"/>
      <c r="TGP22" s="1"/>
      <c r="TGR22" s="8"/>
      <c r="TGU22" s="7"/>
      <c r="TGX22" s="7"/>
      <c r="TGZ22" s="7"/>
      <c r="THC22" s="7"/>
      <c r="THD22" s="8"/>
      <c r="THH22" s="1"/>
      <c r="THJ22" s="8"/>
      <c r="THM22" s="7"/>
      <c r="THP22" s="7"/>
      <c r="THR22" s="7"/>
      <c r="THU22" s="7"/>
      <c r="THV22" s="8"/>
      <c r="THZ22" s="1"/>
      <c r="TIB22" s="8"/>
      <c r="TIE22" s="7"/>
      <c r="TIH22" s="7"/>
      <c r="TIJ22" s="7"/>
      <c r="TIM22" s="7"/>
      <c r="TIN22" s="8"/>
      <c r="TIR22" s="1"/>
      <c r="TIT22" s="8"/>
      <c r="TIW22" s="7"/>
      <c r="TIZ22" s="7"/>
      <c r="TJB22" s="7"/>
      <c r="TJE22" s="7"/>
      <c r="TJF22" s="8"/>
      <c r="TJJ22" s="1"/>
      <c r="TJL22" s="8"/>
      <c r="TJO22" s="7"/>
      <c r="TJR22" s="7"/>
      <c r="TJT22" s="7"/>
      <c r="TJW22" s="7"/>
      <c r="TJX22" s="8"/>
      <c r="TKB22" s="1"/>
      <c r="TKD22" s="8"/>
      <c r="TKG22" s="7"/>
      <c r="TKJ22" s="7"/>
      <c r="TKL22" s="7"/>
      <c r="TKO22" s="7"/>
      <c r="TKP22" s="8"/>
      <c r="TKT22" s="1"/>
      <c r="TKV22" s="8"/>
      <c r="TKY22" s="7"/>
      <c r="TLB22" s="7"/>
      <c r="TLD22" s="7"/>
      <c r="TLG22" s="7"/>
      <c r="TLH22" s="8"/>
      <c r="TLL22" s="1"/>
      <c r="TLN22" s="8"/>
      <c r="TLQ22" s="7"/>
      <c r="TLT22" s="7"/>
      <c r="TLV22" s="7"/>
      <c r="TLY22" s="7"/>
      <c r="TLZ22" s="8"/>
      <c r="TMD22" s="1"/>
      <c r="TMF22" s="8"/>
      <c r="TMI22" s="7"/>
      <c r="TML22" s="7"/>
      <c r="TMN22" s="7"/>
      <c r="TMQ22" s="7"/>
      <c r="TMR22" s="8"/>
      <c r="TMV22" s="1"/>
      <c r="TMX22" s="8"/>
      <c r="TNA22" s="7"/>
      <c r="TND22" s="7"/>
      <c r="TNF22" s="7"/>
      <c r="TNI22" s="7"/>
      <c r="TNJ22" s="8"/>
      <c r="TNN22" s="1"/>
      <c r="TNP22" s="8"/>
      <c r="TNS22" s="7"/>
      <c r="TNV22" s="7"/>
      <c r="TNX22" s="7"/>
      <c r="TOA22" s="7"/>
      <c r="TOB22" s="8"/>
      <c r="TOF22" s="1"/>
      <c r="TOH22" s="8"/>
      <c r="TOK22" s="7"/>
      <c r="TON22" s="7"/>
      <c r="TOP22" s="7"/>
      <c r="TOS22" s="7"/>
      <c r="TOT22" s="8"/>
      <c r="TOX22" s="1"/>
      <c r="TOZ22" s="8"/>
      <c r="TPC22" s="7"/>
      <c r="TPF22" s="7"/>
      <c r="TPH22" s="7"/>
      <c r="TPK22" s="7"/>
      <c r="TPL22" s="8"/>
      <c r="TPP22" s="1"/>
      <c r="TPR22" s="8"/>
      <c r="TPU22" s="7"/>
      <c r="TPX22" s="7"/>
      <c r="TPZ22" s="7"/>
      <c r="TQC22" s="7"/>
      <c r="TQD22" s="8"/>
      <c r="TQH22" s="1"/>
      <c r="TQJ22" s="8"/>
      <c r="TQM22" s="7"/>
      <c r="TQP22" s="7"/>
      <c r="TQR22" s="7"/>
      <c r="TQU22" s="7"/>
      <c r="TQV22" s="8"/>
      <c r="TQZ22" s="1"/>
      <c r="TRB22" s="8"/>
      <c r="TRE22" s="7"/>
      <c r="TRH22" s="7"/>
      <c r="TRJ22" s="7"/>
      <c r="TRM22" s="7"/>
      <c r="TRN22" s="8"/>
      <c r="TRR22" s="1"/>
      <c r="TRT22" s="8"/>
      <c r="TRW22" s="7"/>
      <c r="TRZ22" s="7"/>
      <c r="TSB22" s="7"/>
      <c r="TSE22" s="7"/>
      <c r="TSF22" s="8"/>
      <c r="TSJ22" s="1"/>
      <c r="TSL22" s="8"/>
      <c r="TSO22" s="7"/>
      <c r="TSR22" s="7"/>
      <c r="TST22" s="7"/>
      <c r="TSW22" s="7"/>
      <c r="TSX22" s="8"/>
      <c r="TTB22" s="1"/>
      <c r="TTD22" s="8"/>
      <c r="TTG22" s="7"/>
      <c r="TTJ22" s="7"/>
      <c r="TTL22" s="7"/>
      <c r="TTO22" s="7"/>
      <c r="TTP22" s="8"/>
      <c r="TTT22" s="1"/>
      <c r="TTV22" s="8"/>
      <c r="TTY22" s="7"/>
      <c r="TUB22" s="7"/>
      <c r="TUD22" s="7"/>
      <c r="TUG22" s="7"/>
      <c r="TUH22" s="8"/>
      <c r="TUL22" s="1"/>
      <c r="TUN22" s="8"/>
      <c r="TUQ22" s="7"/>
      <c r="TUT22" s="7"/>
      <c r="TUV22" s="7"/>
      <c r="TUY22" s="7"/>
      <c r="TUZ22" s="8"/>
      <c r="TVD22" s="1"/>
      <c r="TVF22" s="8"/>
      <c r="TVI22" s="7"/>
      <c r="TVL22" s="7"/>
      <c r="TVN22" s="7"/>
      <c r="TVQ22" s="7"/>
      <c r="TVR22" s="8"/>
      <c r="TVV22" s="1"/>
      <c r="TVX22" s="8"/>
      <c r="TWA22" s="7"/>
      <c r="TWD22" s="7"/>
      <c r="TWF22" s="7"/>
      <c r="TWI22" s="7"/>
      <c r="TWJ22" s="8"/>
      <c r="TWN22" s="1"/>
      <c r="TWP22" s="8"/>
      <c r="TWS22" s="7"/>
      <c r="TWV22" s="7"/>
      <c r="TWX22" s="7"/>
      <c r="TXA22" s="7"/>
      <c r="TXB22" s="8"/>
      <c r="TXF22" s="1"/>
      <c r="TXH22" s="8"/>
      <c r="TXK22" s="7"/>
      <c r="TXN22" s="7"/>
      <c r="TXP22" s="7"/>
      <c r="TXS22" s="7"/>
      <c r="TXT22" s="8"/>
      <c r="TXX22" s="1"/>
      <c r="TXZ22" s="8"/>
      <c r="TYC22" s="7"/>
      <c r="TYF22" s="7"/>
      <c r="TYH22" s="7"/>
      <c r="TYK22" s="7"/>
      <c r="TYL22" s="8"/>
      <c r="TYP22" s="1"/>
      <c r="TYR22" s="8"/>
      <c r="TYU22" s="7"/>
      <c r="TYX22" s="7"/>
      <c r="TYZ22" s="7"/>
      <c r="TZC22" s="7"/>
      <c r="TZD22" s="8"/>
      <c r="TZH22" s="1"/>
      <c r="TZJ22" s="8"/>
      <c r="TZM22" s="7"/>
      <c r="TZP22" s="7"/>
      <c r="TZR22" s="7"/>
      <c r="TZU22" s="7"/>
      <c r="TZV22" s="8"/>
      <c r="TZZ22" s="1"/>
      <c r="UAB22" s="8"/>
      <c r="UAE22" s="7"/>
      <c r="UAH22" s="7"/>
      <c r="UAJ22" s="7"/>
      <c r="UAM22" s="7"/>
      <c r="UAN22" s="8"/>
      <c r="UAR22" s="1"/>
      <c r="UAT22" s="8"/>
      <c r="UAW22" s="7"/>
      <c r="UAZ22" s="7"/>
      <c r="UBB22" s="7"/>
      <c r="UBE22" s="7"/>
      <c r="UBF22" s="8"/>
      <c r="UBJ22" s="1"/>
      <c r="UBL22" s="8"/>
      <c r="UBO22" s="7"/>
      <c r="UBR22" s="7"/>
      <c r="UBT22" s="7"/>
      <c r="UBW22" s="7"/>
      <c r="UBX22" s="8"/>
      <c r="UCB22" s="1"/>
      <c r="UCD22" s="8"/>
      <c r="UCG22" s="7"/>
      <c r="UCJ22" s="7"/>
      <c r="UCL22" s="7"/>
      <c r="UCO22" s="7"/>
      <c r="UCP22" s="8"/>
      <c r="UCT22" s="1"/>
      <c r="UCV22" s="8"/>
      <c r="UCY22" s="7"/>
      <c r="UDB22" s="7"/>
      <c r="UDD22" s="7"/>
      <c r="UDG22" s="7"/>
      <c r="UDH22" s="8"/>
      <c r="UDL22" s="1"/>
      <c r="UDN22" s="8"/>
      <c r="UDQ22" s="7"/>
      <c r="UDT22" s="7"/>
      <c r="UDV22" s="7"/>
      <c r="UDY22" s="7"/>
      <c r="UDZ22" s="8"/>
      <c r="UED22" s="1"/>
      <c r="UEF22" s="8"/>
      <c r="UEI22" s="7"/>
      <c r="UEL22" s="7"/>
      <c r="UEN22" s="7"/>
      <c r="UEQ22" s="7"/>
      <c r="UER22" s="8"/>
      <c r="UEV22" s="1"/>
      <c r="UEX22" s="8"/>
      <c r="UFA22" s="7"/>
      <c r="UFD22" s="7"/>
      <c r="UFF22" s="7"/>
      <c r="UFI22" s="7"/>
      <c r="UFJ22" s="8"/>
      <c r="UFN22" s="1"/>
      <c r="UFP22" s="8"/>
      <c r="UFS22" s="7"/>
      <c r="UFV22" s="7"/>
      <c r="UFX22" s="7"/>
      <c r="UGA22" s="7"/>
      <c r="UGB22" s="8"/>
      <c r="UGF22" s="1"/>
      <c r="UGH22" s="8"/>
      <c r="UGK22" s="7"/>
      <c r="UGN22" s="7"/>
      <c r="UGP22" s="7"/>
      <c r="UGS22" s="7"/>
      <c r="UGT22" s="8"/>
      <c r="UGX22" s="1"/>
      <c r="UGZ22" s="8"/>
      <c r="UHC22" s="7"/>
      <c r="UHF22" s="7"/>
      <c r="UHH22" s="7"/>
      <c r="UHK22" s="7"/>
      <c r="UHL22" s="8"/>
      <c r="UHP22" s="1"/>
      <c r="UHR22" s="8"/>
      <c r="UHU22" s="7"/>
      <c r="UHX22" s="7"/>
      <c r="UHZ22" s="7"/>
      <c r="UIC22" s="7"/>
      <c r="UID22" s="8"/>
      <c r="UIH22" s="1"/>
      <c r="UIJ22" s="8"/>
      <c r="UIM22" s="7"/>
      <c r="UIP22" s="7"/>
      <c r="UIR22" s="7"/>
      <c r="UIU22" s="7"/>
      <c r="UIV22" s="8"/>
      <c r="UIZ22" s="1"/>
      <c r="UJB22" s="8"/>
      <c r="UJE22" s="7"/>
      <c r="UJH22" s="7"/>
      <c r="UJJ22" s="7"/>
      <c r="UJM22" s="7"/>
      <c r="UJN22" s="8"/>
      <c r="UJR22" s="1"/>
      <c r="UJT22" s="8"/>
      <c r="UJW22" s="7"/>
      <c r="UJZ22" s="7"/>
      <c r="UKB22" s="7"/>
      <c r="UKE22" s="7"/>
      <c r="UKF22" s="8"/>
      <c r="UKJ22" s="1"/>
      <c r="UKL22" s="8"/>
      <c r="UKO22" s="7"/>
      <c r="UKR22" s="7"/>
      <c r="UKT22" s="7"/>
      <c r="UKW22" s="7"/>
      <c r="UKX22" s="8"/>
      <c r="ULB22" s="1"/>
      <c r="ULD22" s="8"/>
      <c r="ULG22" s="7"/>
      <c r="ULJ22" s="7"/>
      <c r="ULL22" s="7"/>
      <c r="ULO22" s="7"/>
      <c r="ULP22" s="8"/>
      <c r="ULT22" s="1"/>
      <c r="ULV22" s="8"/>
      <c r="ULY22" s="7"/>
      <c r="UMB22" s="7"/>
      <c r="UMD22" s="7"/>
      <c r="UMG22" s="7"/>
      <c r="UMH22" s="8"/>
      <c r="UML22" s="1"/>
      <c r="UMN22" s="8"/>
      <c r="UMQ22" s="7"/>
      <c r="UMT22" s="7"/>
      <c r="UMV22" s="7"/>
      <c r="UMY22" s="7"/>
      <c r="UMZ22" s="8"/>
      <c r="UND22" s="1"/>
      <c r="UNF22" s="8"/>
      <c r="UNI22" s="7"/>
      <c r="UNL22" s="7"/>
      <c r="UNN22" s="7"/>
      <c r="UNQ22" s="7"/>
      <c r="UNR22" s="8"/>
      <c r="UNV22" s="1"/>
      <c r="UNX22" s="8"/>
      <c r="UOA22" s="7"/>
      <c r="UOD22" s="7"/>
      <c r="UOF22" s="7"/>
      <c r="UOI22" s="7"/>
      <c r="UOJ22" s="8"/>
      <c r="UON22" s="1"/>
      <c r="UOP22" s="8"/>
      <c r="UOS22" s="7"/>
      <c r="UOV22" s="7"/>
      <c r="UOX22" s="7"/>
      <c r="UPA22" s="7"/>
      <c r="UPB22" s="8"/>
      <c r="UPF22" s="1"/>
      <c r="UPH22" s="8"/>
      <c r="UPK22" s="7"/>
      <c r="UPN22" s="7"/>
      <c r="UPP22" s="7"/>
      <c r="UPS22" s="7"/>
      <c r="UPT22" s="8"/>
      <c r="UPX22" s="1"/>
      <c r="UPZ22" s="8"/>
      <c r="UQC22" s="7"/>
      <c r="UQF22" s="7"/>
      <c r="UQH22" s="7"/>
      <c r="UQK22" s="7"/>
      <c r="UQL22" s="8"/>
      <c r="UQP22" s="1"/>
      <c r="UQR22" s="8"/>
      <c r="UQU22" s="7"/>
      <c r="UQX22" s="7"/>
      <c r="UQZ22" s="7"/>
      <c r="URC22" s="7"/>
      <c r="URD22" s="8"/>
      <c r="URH22" s="1"/>
      <c r="URJ22" s="8"/>
      <c r="URM22" s="7"/>
      <c r="URP22" s="7"/>
      <c r="URR22" s="7"/>
      <c r="URU22" s="7"/>
      <c r="URV22" s="8"/>
      <c r="URZ22" s="1"/>
      <c r="USB22" s="8"/>
      <c r="USE22" s="7"/>
      <c r="USH22" s="7"/>
      <c r="USJ22" s="7"/>
      <c r="USM22" s="7"/>
      <c r="USN22" s="8"/>
      <c r="USR22" s="1"/>
      <c r="UST22" s="8"/>
      <c r="USW22" s="7"/>
      <c r="USZ22" s="7"/>
      <c r="UTB22" s="7"/>
      <c r="UTE22" s="7"/>
      <c r="UTF22" s="8"/>
      <c r="UTJ22" s="1"/>
      <c r="UTL22" s="8"/>
      <c r="UTO22" s="7"/>
      <c r="UTR22" s="7"/>
      <c r="UTT22" s="7"/>
      <c r="UTW22" s="7"/>
      <c r="UTX22" s="8"/>
      <c r="UUB22" s="1"/>
      <c r="UUD22" s="8"/>
      <c r="UUG22" s="7"/>
      <c r="UUJ22" s="7"/>
      <c r="UUL22" s="7"/>
      <c r="UUO22" s="7"/>
      <c r="UUP22" s="8"/>
      <c r="UUT22" s="1"/>
      <c r="UUV22" s="8"/>
      <c r="UUY22" s="7"/>
      <c r="UVB22" s="7"/>
      <c r="UVD22" s="7"/>
      <c r="UVG22" s="7"/>
      <c r="UVH22" s="8"/>
      <c r="UVL22" s="1"/>
      <c r="UVN22" s="8"/>
      <c r="UVQ22" s="7"/>
      <c r="UVT22" s="7"/>
      <c r="UVV22" s="7"/>
      <c r="UVY22" s="7"/>
      <c r="UVZ22" s="8"/>
      <c r="UWD22" s="1"/>
      <c r="UWF22" s="8"/>
      <c r="UWI22" s="7"/>
      <c r="UWL22" s="7"/>
      <c r="UWN22" s="7"/>
      <c r="UWQ22" s="7"/>
      <c r="UWR22" s="8"/>
      <c r="UWV22" s="1"/>
      <c r="UWX22" s="8"/>
      <c r="UXA22" s="7"/>
      <c r="UXD22" s="7"/>
      <c r="UXF22" s="7"/>
      <c r="UXI22" s="7"/>
      <c r="UXJ22" s="8"/>
      <c r="UXN22" s="1"/>
      <c r="UXP22" s="8"/>
      <c r="UXS22" s="7"/>
      <c r="UXV22" s="7"/>
      <c r="UXX22" s="7"/>
      <c r="UYA22" s="7"/>
      <c r="UYB22" s="8"/>
      <c r="UYF22" s="1"/>
      <c r="UYH22" s="8"/>
      <c r="UYK22" s="7"/>
      <c r="UYN22" s="7"/>
      <c r="UYP22" s="7"/>
      <c r="UYS22" s="7"/>
      <c r="UYT22" s="8"/>
      <c r="UYX22" s="1"/>
      <c r="UYZ22" s="8"/>
      <c r="UZC22" s="7"/>
      <c r="UZF22" s="7"/>
      <c r="UZH22" s="7"/>
      <c r="UZK22" s="7"/>
      <c r="UZL22" s="8"/>
      <c r="UZP22" s="1"/>
      <c r="UZR22" s="8"/>
      <c r="UZU22" s="7"/>
      <c r="UZX22" s="7"/>
      <c r="UZZ22" s="7"/>
      <c r="VAC22" s="7"/>
      <c r="VAD22" s="8"/>
      <c r="VAH22" s="1"/>
      <c r="VAJ22" s="8"/>
      <c r="VAM22" s="7"/>
      <c r="VAP22" s="7"/>
      <c r="VAR22" s="7"/>
      <c r="VAU22" s="7"/>
      <c r="VAV22" s="8"/>
      <c r="VAZ22" s="1"/>
      <c r="VBB22" s="8"/>
      <c r="VBE22" s="7"/>
      <c r="VBH22" s="7"/>
      <c r="VBJ22" s="7"/>
      <c r="VBM22" s="7"/>
      <c r="VBN22" s="8"/>
      <c r="VBR22" s="1"/>
      <c r="VBT22" s="8"/>
      <c r="VBW22" s="7"/>
      <c r="VBZ22" s="7"/>
      <c r="VCB22" s="7"/>
      <c r="VCE22" s="7"/>
      <c r="VCF22" s="8"/>
      <c r="VCJ22" s="1"/>
      <c r="VCL22" s="8"/>
      <c r="VCO22" s="7"/>
      <c r="VCR22" s="7"/>
      <c r="VCT22" s="7"/>
      <c r="VCW22" s="7"/>
      <c r="VCX22" s="8"/>
      <c r="VDB22" s="1"/>
      <c r="VDD22" s="8"/>
      <c r="VDG22" s="7"/>
      <c r="VDJ22" s="7"/>
      <c r="VDL22" s="7"/>
      <c r="VDO22" s="7"/>
      <c r="VDP22" s="8"/>
      <c r="VDT22" s="1"/>
      <c r="VDV22" s="8"/>
      <c r="VDY22" s="7"/>
      <c r="VEB22" s="7"/>
      <c r="VED22" s="7"/>
      <c r="VEG22" s="7"/>
      <c r="VEH22" s="8"/>
      <c r="VEL22" s="1"/>
      <c r="VEN22" s="8"/>
      <c r="VEQ22" s="7"/>
      <c r="VET22" s="7"/>
      <c r="VEV22" s="7"/>
      <c r="VEY22" s="7"/>
      <c r="VEZ22" s="8"/>
      <c r="VFD22" s="1"/>
      <c r="VFF22" s="8"/>
      <c r="VFI22" s="7"/>
      <c r="VFL22" s="7"/>
      <c r="VFN22" s="7"/>
      <c r="VFQ22" s="7"/>
      <c r="VFR22" s="8"/>
      <c r="VFV22" s="1"/>
      <c r="VFX22" s="8"/>
      <c r="VGA22" s="7"/>
      <c r="VGD22" s="7"/>
      <c r="VGF22" s="7"/>
      <c r="VGI22" s="7"/>
      <c r="VGJ22" s="8"/>
      <c r="VGN22" s="1"/>
      <c r="VGP22" s="8"/>
      <c r="VGS22" s="7"/>
      <c r="VGV22" s="7"/>
      <c r="VGX22" s="7"/>
      <c r="VHA22" s="7"/>
      <c r="VHB22" s="8"/>
      <c r="VHF22" s="1"/>
      <c r="VHH22" s="8"/>
      <c r="VHK22" s="7"/>
      <c r="VHN22" s="7"/>
      <c r="VHP22" s="7"/>
      <c r="VHS22" s="7"/>
      <c r="VHT22" s="8"/>
      <c r="VHX22" s="1"/>
      <c r="VHZ22" s="8"/>
      <c r="VIC22" s="7"/>
      <c r="VIF22" s="7"/>
      <c r="VIH22" s="7"/>
      <c r="VIK22" s="7"/>
      <c r="VIL22" s="8"/>
      <c r="VIP22" s="1"/>
      <c r="VIR22" s="8"/>
      <c r="VIU22" s="7"/>
      <c r="VIX22" s="7"/>
      <c r="VIZ22" s="7"/>
      <c r="VJC22" s="7"/>
      <c r="VJD22" s="8"/>
      <c r="VJH22" s="1"/>
      <c r="VJJ22" s="8"/>
      <c r="VJM22" s="7"/>
      <c r="VJP22" s="7"/>
      <c r="VJR22" s="7"/>
      <c r="VJU22" s="7"/>
      <c r="VJV22" s="8"/>
      <c r="VJZ22" s="1"/>
      <c r="VKB22" s="8"/>
      <c r="VKE22" s="7"/>
      <c r="VKH22" s="7"/>
      <c r="VKJ22" s="7"/>
      <c r="VKM22" s="7"/>
      <c r="VKN22" s="8"/>
      <c r="VKR22" s="1"/>
      <c r="VKT22" s="8"/>
      <c r="VKW22" s="7"/>
      <c r="VKZ22" s="7"/>
      <c r="VLB22" s="7"/>
      <c r="VLE22" s="7"/>
      <c r="VLF22" s="8"/>
      <c r="VLJ22" s="1"/>
      <c r="VLL22" s="8"/>
      <c r="VLO22" s="7"/>
      <c r="VLR22" s="7"/>
      <c r="VLT22" s="7"/>
      <c r="VLW22" s="7"/>
      <c r="VLX22" s="8"/>
      <c r="VMB22" s="1"/>
      <c r="VMD22" s="8"/>
      <c r="VMG22" s="7"/>
      <c r="VMJ22" s="7"/>
      <c r="VML22" s="7"/>
      <c r="VMO22" s="7"/>
      <c r="VMP22" s="8"/>
      <c r="VMT22" s="1"/>
      <c r="VMV22" s="8"/>
      <c r="VMY22" s="7"/>
      <c r="VNB22" s="7"/>
      <c r="VND22" s="7"/>
      <c r="VNG22" s="7"/>
      <c r="VNH22" s="8"/>
      <c r="VNL22" s="1"/>
      <c r="VNN22" s="8"/>
      <c r="VNQ22" s="7"/>
      <c r="VNT22" s="7"/>
      <c r="VNV22" s="7"/>
      <c r="VNY22" s="7"/>
      <c r="VNZ22" s="8"/>
      <c r="VOD22" s="1"/>
      <c r="VOF22" s="8"/>
      <c r="VOI22" s="7"/>
      <c r="VOL22" s="7"/>
      <c r="VON22" s="7"/>
      <c r="VOQ22" s="7"/>
      <c r="VOR22" s="8"/>
      <c r="VOV22" s="1"/>
      <c r="VOX22" s="8"/>
      <c r="VPA22" s="7"/>
      <c r="VPD22" s="7"/>
      <c r="VPF22" s="7"/>
      <c r="VPI22" s="7"/>
      <c r="VPJ22" s="8"/>
      <c r="VPN22" s="1"/>
      <c r="VPP22" s="8"/>
      <c r="VPS22" s="7"/>
      <c r="VPV22" s="7"/>
      <c r="VPX22" s="7"/>
      <c r="VQA22" s="7"/>
      <c r="VQB22" s="8"/>
      <c r="VQF22" s="1"/>
      <c r="VQH22" s="8"/>
      <c r="VQK22" s="7"/>
      <c r="VQN22" s="7"/>
      <c r="VQP22" s="7"/>
      <c r="VQS22" s="7"/>
      <c r="VQT22" s="8"/>
      <c r="VQX22" s="1"/>
      <c r="VQZ22" s="8"/>
      <c r="VRC22" s="7"/>
      <c r="VRF22" s="7"/>
      <c r="VRH22" s="7"/>
      <c r="VRK22" s="7"/>
      <c r="VRL22" s="8"/>
      <c r="VRP22" s="1"/>
      <c r="VRR22" s="8"/>
      <c r="VRU22" s="7"/>
      <c r="VRX22" s="7"/>
      <c r="VRZ22" s="7"/>
      <c r="VSC22" s="7"/>
      <c r="VSD22" s="8"/>
      <c r="VSH22" s="1"/>
      <c r="VSJ22" s="8"/>
      <c r="VSM22" s="7"/>
      <c r="VSP22" s="7"/>
      <c r="VSR22" s="7"/>
      <c r="VSU22" s="7"/>
      <c r="VSV22" s="8"/>
      <c r="VSZ22" s="1"/>
      <c r="VTB22" s="8"/>
      <c r="VTE22" s="7"/>
      <c r="VTH22" s="7"/>
      <c r="VTJ22" s="7"/>
      <c r="VTM22" s="7"/>
      <c r="VTN22" s="8"/>
      <c r="VTR22" s="1"/>
      <c r="VTT22" s="8"/>
      <c r="VTW22" s="7"/>
      <c r="VTZ22" s="7"/>
      <c r="VUB22" s="7"/>
      <c r="VUE22" s="7"/>
      <c r="VUF22" s="8"/>
      <c r="VUJ22" s="1"/>
      <c r="VUL22" s="8"/>
      <c r="VUO22" s="7"/>
      <c r="VUR22" s="7"/>
      <c r="VUT22" s="7"/>
      <c r="VUW22" s="7"/>
      <c r="VUX22" s="8"/>
      <c r="VVB22" s="1"/>
      <c r="VVD22" s="8"/>
      <c r="VVG22" s="7"/>
      <c r="VVJ22" s="7"/>
      <c r="VVL22" s="7"/>
      <c r="VVO22" s="7"/>
      <c r="VVP22" s="8"/>
      <c r="VVT22" s="1"/>
      <c r="VVV22" s="8"/>
      <c r="VVY22" s="7"/>
      <c r="VWB22" s="7"/>
      <c r="VWD22" s="7"/>
      <c r="VWG22" s="7"/>
      <c r="VWH22" s="8"/>
      <c r="VWL22" s="1"/>
      <c r="VWN22" s="8"/>
      <c r="VWQ22" s="7"/>
      <c r="VWT22" s="7"/>
      <c r="VWV22" s="7"/>
      <c r="VWY22" s="7"/>
      <c r="VWZ22" s="8"/>
      <c r="VXD22" s="1"/>
      <c r="VXF22" s="8"/>
      <c r="VXI22" s="7"/>
      <c r="VXL22" s="7"/>
      <c r="VXN22" s="7"/>
      <c r="VXQ22" s="7"/>
      <c r="VXR22" s="8"/>
      <c r="VXV22" s="1"/>
      <c r="VXX22" s="8"/>
      <c r="VYA22" s="7"/>
      <c r="VYD22" s="7"/>
      <c r="VYF22" s="7"/>
      <c r="VYI22" s="7"/>
      <c r="VYJ22" s="8"/>
      <c r="VYN22" s="1"/>
      <c r="VYP22" s="8"/>
      <c r="VYS22" s="7"/>
      <c r="VYV22" s="7"/>
      <c r="VYX22" s="7"/>
      <c r="VZA22" s="7"/>
      <c r="VZB22" s="8"/>
      <c r="VZF22" s="1"/>
      <c r="VZH22" s="8"/>
      <c r="VZK22" s="7"/>
      <c r="VZN22" s="7"/>
      <c r="VZP22" s="7"/>
      <c r="VZS22" s="7"/>
      <c r="VZT22" s="8"/>
      <c r="VZX22" s="1"/>
      <c r="VZZ22" s="8"/>
      <c r="WAC22" s="7"/>
      <c r="WAF22" s="7"/>
      <c r="WAH22" s="7"/>
      <c r="WAK22" s="7"/>
      <c r="WAL22" s="8"/>
      <c r="WAP22" s="1"/>
      <c r="WAR22" s="8"/>
      <c r="WAU22" s="7"/>
      <c r="WAX22" s="7"/>
      <c r="WAZ22" s="7"/>
      <c r="WBC22" s="7"/>
      <c r="WBD22" s="8"/>
      <c r="WBH22" s="1"/>
      <c r="WBJ22" s="8"/>
      <c r="WBM22" s="7"/>
      <c r="WBP22" s="7"/>
      <c r="WBR22" s="7"/>
      <c r="WBU22" s="7"/>
      <c r="WBV22" s="8"/>
      <c r="WBZ22" s="1"/>
      <c r="WCB22" s="8"/>
      <c r="WCE22" s="7"/>
      <c r="WCH22" s="7"/>
      <c r="WCJ22" s="7"/>
      <c r="WCM22" s="7"/>
      <c r="WCN22" s="8"/>
      <c r="WCR22" s="1"/>
      <c r="WCT22" s="8"/>
      <c r="WCW22" s="7"/>
      <c r="WCZ22" s="7"/>
      <c r="WDB22" s="7"/>
      <c r="WDE22" s="7"/>
      <c r="WDF22" s="8"/>
      <c r="WDJ22" s="1"/>
      <c r="WDL22" s="8"/>
      <c r="WDO22" s="7"/>
      <c r="WDR22" s="7"/>
      <c r="WDT22" s="7"/>
      <c r="WDW22" s="7"/>
      <c r="WDX22" s="8"/>
      <c r="WEB22" s="1"/>
      <c r="WED22" s="8"/>
      <c r="WEG22" s="7"/>
      <c r="WEJ22" s="7"/>
      <c r="WEL22" s="7"/>
      <c r="WEO22" s="7"/>
      <c r="WEP22" s="8"/>
      <c r="WET22" s="1"/>
      <c r="WEV22" s="8"/>
      <c r="WEY22" s="7"/>
      <c r="WFB22" s="7"/>
      <c r="WFD22" s="7"/>
      <c r="WFG22" s="7"/>
      <c r="WFH22" s="8"/>
      <c r="WFL22" s="1"/>
      <c r="WFN22" s="8"/>
      <c r="WFQ22" s="7"/>
      <c r="WFT22" s="7"/>
      <c r="WFV22" s="7"/>
      <c r="WFY22" s="7"/>
      <c r="WFZ22" s="8"/>
      <c r="WGD22" s="1"/>
      <c r="WGF22" s="8"/>
      <c r="WGI22" s="7"/>
      <c r="WGL22" s="7"/>
      <c r="WGN22" s="7"/>
      <c r="WGQ22" s="7"/>
      <c r="WGR22" s="8"/>
      <c r="WGV22" s="1"/>
      <c r="WGX22" s="8"/>
      <c r="WHA22" s="7"/>
      <c r="WHD22" s="7"/>
      <c r="WHF22" s="7"/>
      <c r="WHI22" s="7"/>
      <c r="WHJ22" s="8"/>
      <c r="WHN22" s="1"/>
      <c r="WHP22" s="8"/>
      <c r="WHS22" s="7"/>
      <c r="WHV22" s="7"/>
      <c r="WHX22" s="7"/>
      <c r="WIA22" s="7"/>
      <c r="WIB22" s="8"/>
      <c r="WIF22" s="1"/>
      <c r="WIH22" s="8"/>
      <c r="WIK22" s="7"/>
      <c r="WIN22" s="7"/>
      <c r="WIP22" s="7"/>
      <c r="WIS22" s="7"/>
      <c r="WIT22" s="8"/>
      <c r="WIX22" s="1"/>
      <c r="WIZ22" s="8"/>
      <c r="WJC22" s="7"/>
      <c r="WJF22" s="7"/>
      <c r="WJH22" s="7"/>
      <c r="WJK22" s="7"/>
      <c r="WJL22" s="8"/>
      <c r="WJP22" s="1"/>
      <c r="WJR22" s="8"/>
      <c r="WJU22" s="7"/>
      <c r="WJX22" s="7"/>
      <c r="WJZ22" s="7"/>
      <c r="WKC22" s="7"/>
      <c r="WKD22" s="8"/>
      <c r="WKH22" s="1"/>
      <c r="WKJ22" s="8"/>
      <c r="WKM22" s="7"/>
      <c r="WKP22" s="7"/>
      <c r="WKR22" s="7"/>
      <c r="WKU22" s="7"/>
      <c r="WKV22" s="8"/>
      <c r="WKZ22" s="1"/>
      <c r="WLB22" s="8"/>
      <c r="WLE22" s="7"/>
      <c r="WLH22" s="7"/>
      <c r="WLJ22" s="7"/>
      <c r="WLM22" s="7"/>
      <c r="WLN22" s="8"/>
      <c r="WLR22" s="1"/>
      <c r="WLT22" s="8"/>
      <c r="WLW22" s="7"/>
      <c r="WLZ22" s="7"/>
      <c r="WMB22" s="7"/>
      <c r="WME22" s="7"/>
      <c r="WMF22" s="8"/>
      <c r="WMJ22" s="1"/>
      <c r="WML22" s="8"/>
      <c r="WMO22" s="7"/>
      <c r="WMR22" s="7"/>
      <c r="WMT22" s="7"/>
      <c r="WMW22" s="7"/>
      <c r="WMX22" s="8"/>
      <c r="WNB22" s="1"/>
      <c r="WND22" s="8"/>
      <c r="WNG22" s="7"/>
      <c r="WNJ22" s="7"/>
      <c r="WNL22" s="7"/>
      <c r="WNO22" s="7"/>
      <c r="WNP22" s="8"/>
      <c r="WNT22" s="1"/>
      <c r="WNV22" s="8"/>
      <c r="WNY22" s="7"/>
      <c r="WOB22" s="7"/>
      <c r="WOD22" s="7"/>
      <c r="WOG22" s="7"/>
      <c r="WOH22" s="8"/>
      <c r="WOL22" s="1"/>
      <c r="WON22" s="8"/>
      <c r="WOQ22" s="7"/>
      <c r="WOT22" s="7"/>
      <c r="WOV22" s="7"/>
      <c r="WOY22" s="7"/>
      <c r="WOZ22" s="8"/>
      <c r="WPD22" s="1"/>
      <c r="WPF22" s="8"/>
      <c r="WPI22" s="7"/>
      <c r="WPL22" s="7"/>
      <c r="WPN22" s="7"/>
      <c r="WPQ22" s="7"/>
      <c r="WPR22" s="8"/>
      <c r="WPV22" s="1"/>
      <c r="WPX22" s="8"/>
      <c r="WQA22" s="7"/>
      <c r="WQD22" s="7"/>
      <c r="WQF22" s="7"/>
      <c r="WQI22" s="7"/>
      <c r="WQJ22" s="8"/>
      <c r="WQN22" s="1"/>
      <c r="WQP22" s="8"/>
      <c r="WQS22" s="7"/>
      <c r="WQV22" s="7"/>
      <c r="WQX22" s="7"/>
      <c r="WRA22" s="7"/>
      <c r="WRB22" s="8"/>
      <c r="WRF22" s="1"/>
      <c r="WRH22" s="8"/>
      <c r="WRK22" s="7"/>
      <c r="WRN22" s="7"/>
      <c r="WRP22" s="7"/>
      <c r="WRS22" s="7"/>
      <c r="WRT22" s="8"/>
      <c r="WRX22" s="1"/>
      <c r="WRZ22" s="8"/>
      <c r="WSC22" s="7"/>
      <c r="WSF22" s="7"/>
      <c r="WSH22" s="7"/>
      <c r="WSK22" s="7"/>
      <c r="WSL22" s="8"/>
      <c r="WSP22" s="1"/>
      <c r="WSR22" s="8"/>
      <c r="WSU22" s="7"/>
      <c r="WSX22" s="7"/>
      <c r="WSZ22" s="7"/>
      <c r="WTC22" s="7"/>
      <c r="WTD22" s="8"/>
      <c r="WTH22" s="1"/>
      <c r="WTJ22" s="8"/>
      <c r="WTM22" s="7"/>
      <c r="WTP22" s="7"/>
      <c r="WTR22" s="7"/>
      <c r="WTU22" s="7"/>
      <c r="WTV22" s="8"/>
      <c r="WTZ22" s="1"/>
      <c r="WUB22" s="8"/>
      <c r="WUE22" s="7"/>
      <c r="WUH22" s="7"/>
      <c r="WUJ22" s="7"/>
      <c r="WUM22" s="7"/>
      <c r="WUN22" s="8"/>
      <c r="WUR22" s="1"/>
      <c r="WUT22" s="8"/>
      <c r="WUW22" s="7"/>
      <c r="WUZ22" s="7"/>
      <c r="WVB22" s="7"/>
      <c r="WVE22" s="7"/>
      <c r="WVF22" s="8"/>
      <c r="WVJ22" s="1"/>
      <c r="WVL22" s="8"/>
      <c r="WVO22" s="7"/>
      <c r="WVR22" s="7"/>
      <c r="WVT22" s="7"/>
      <c r="WVW22" s="7"/>
      <c r="WVX22" s="8"/>
      <c r="WWB22" s="1"/>
      <c r="WWD22" s="8"/>
      <c r="WWG22" s="7"/>
      <c r="WWJ22" s="7"/>
      <c r="WWL22" s="7"/>
      <c r="WWO22" s="7"/>
      <c r="WWP22" s="8"/>
      <c r="WWT22" s="1"/>
      <c r="WWV22" s="8"/>
      <c r="WWY22" s="7"/>
      <c r="WXB22" s="7"/>
      <c r="WXD22" s="7"/>
      <c r="WXG22" s="7"/>
      <c r="WXH22" s="8"/>
      <c r="WXL22" s="1"/>
      <c r="WXN22" s="8"/>
      <c r="WXQ22" s="7"/>
      <c r="WXT22" s="7"/>
      <c r="WXV22" s="7"/>
      <c r="WXY22" s="7"/>
      <c r="WXZ22" s="8"/>
      <c r="WYD22" s="1"/>
      <c r="WYF22" s="8"/>
      <c r="WYI22" s="7"/>
      <c r="WYL22" s="7"/>
      <c r="WYN22" s="7"/>
      <c r="WYQ22" s="7"/>
      <c r="WYR22" s="8"/>
      <c r="WYV22" s="1"/>
      <c r="WYX22" s="8"/>
      <c r="WZA22" s="7"/>
      <c r="WZD22" s="7"/>
      <c r="WZF22" s="7"/>
      <c r="WZI22" s="7"/>
      <c r="WZJ22" s="8"/>
      <c r="WZN22" s="1"/>
      <c r="WZP22" s="8"/>
      <c r="WZS22" s="7"/>
      <c r="WZV22" s="7"/>
      <c r="WZX22" s="7"/>
      <c r="XAA22" s="7"/>
      <c r="XAB22" s="8"/>
      <c r="XAF22" s="1"/>
      <c r="XAH22" s="8"/>
      <c r="XAK22" s="7"/>
      <c r="XAN22" s="7"/>
      <c r="XAP22" s="7"/>
      <c r="XAS22" s="7"/>
      <c r="XAT22" s="8"/>
      <c r="XAX22" s="1"/>
      <c r="XAZ22" s="8"/>
      <c r="XBC22" s="7"/>
      <c r="XBF22" s="7"/>
      <c r="XBH22" s="7"/>
      <c r="XBK22" s="7"/>
      <c r="XBL22" s="8"/>
      <c r="XBP22" s="1"/>
      <c r="XBR22" s="8"/>
      <c r="XBU22" s="7"/>
      <c r="XBX22" s="7"/>
      <c r="XBZ22" s="7"/>
      <c r="XCC22" s="7"/>
      <c r="XCD22" s="8"/>
      <c r="XCH22" s="1"/>
      <c r="XCJ22" s="8"/>
      <c r="XCM22" s="7"/>
      <c r="XCP22" s="7"/>
      <c r="XCR22" s="7"/>
      <c r="XCU22" s="7"/>
      <c r="XCV22" s="8"/>
      <c r="XCZ22" s="1"/>
      <c r="XDB22" s="8"/>
      <c r="XDE22" s="7"/>
      <c r="XDH22" s="7"/>
      <c r="XDJ22" s="7"/>
      <c r="XDM22" s="7"/>
      <c r="XDN22" s="8"/>
      <c r="XDR22" s="1"/>
      <c r="XDT22" s="8"/>
      <c r="XDW22" s="7"/>
      <c r="XDZ22" s="7"/>
      <c r="XEB22" s="7"/>
      <c r="XEE22" s="7"/>
      <c r="XEF22" s="8"/>
      <c r="XEJ22" s="1"/>
      <c r="XEL22" s="8"/>
      <c r="XEO22" s="7"/>
      <c r="XER22" s="7"/>
      <c r="XET22" s="7"/>
      <c r="XEW22" s="7"/>
      <c r="XEX22" s="8"/>
      <c r="XFB22" s="1"/>
      <c r="XFD22" s="8"/>
    </row>
    <row r="23" spans="1:16384" ht="15.5" x14ac:dyDescent="0.35">
      <c r="A23" s="22" t="s">
        <v>162</v>
      </c>
      <c r="B23" s="37">
        <v>2025</v>
      </c>
      <c r="C23" s="23">
        <v>0</v>
      </c>
      <c r="D23" s="36">
        <f>+D22+C23</f>
        <v>201978213.37999997</v>
      </c>
      <c r="E23" s="23">
        <f t="shared" si="3"/>
        <v>1683152</v>
      </c>
      <c r="F23" s="23">
        <v>0</v>
      </c>
      <c r="G23" s="24">
        <f>+G22+F23</f>
        <v>9150219.2100000009</v>
      </c>
      <c r="H23" s="23">
        <f>'Monthly Revenue Req.(EE&amp;C-1_p2)'!AM130</f>
        <v>253287.20166666669</v>
      </c>
      <c r="I23" s="38">
        <f t="shared" si="0"/>
        <v>0</v>
      </c>
      <c r="J23" s="24">
        <f>+J22+I23</f>
        <v>211128432.59</v>
      </c>
      <c r="K23" s="38">
        <f t="shared" si="6"/>
        <v>1936439.2016666667</v>
      </c>
      <c r="L23" s="24">
        <f>+L22+K23</f>
        <v>28601935.94166667</v>
      </c>
      <c r="M23" s="38">
        <f t="shared" si="8"/>
        <v>0</v>
      </c>
      <c r="N23" s="38">
        <f t="shared" si="9"/>
        <v>-544333.05958850007</v>
      </c>
      <c r="O23" s="24">
        <f>+O22+N23</f>
        <v>51308197.747131236</v>
      </c>
      <c r="P23" s="24">
        <f t="shared" si="11"/>
        <v>131218298.90120211</v>
      </c>
      <c r="Q23" s="38">
        <f t="shared" ref="Q23:Q28" si="13">ROUND(P23*$Q$12,2)</f>
        <v>1021038.67</v>
      </c>
      <c r="R23" s="38">
        <v>818669.98</v>
      </c>
      <c r="S23" s="38">
        <f t="shared" si="12"/>
        <v>3776147.8516666666</v>
      </c>
      <c r="T23" s="28"/>
      <c r="U23" s="7"/>
      <c r="V23" s="8"/>
      <c r="W23" s="7"/>
      <c r="X23" s="7"/>
      <c r="Y23" s="6"/>
      <c r="Z23" s="7"/>
      <c r="AA23" s="8"/>
      <c r="AB23" s="6"/>
      <c r="AC23" s="8"/>
      <c r="AD23" s="6"/>
      <c r="AE23" s="8"/>
      <c r="AF23" s="8"/>
      <c r="AG23" s="6"/>
      <c r="AH23" s="6"/>
      <c r="AI23" s="8"/>
      <c r="AJ23" s="8"/>
      <c r="AK23" s="8"/>
      <c r="AL23" s="28"/>
      <c r="AM23" s="7"/>
      <c r="AN23" s="8"/>
      <c r="AO23" s="7"/>
      <c r="AP23" s="7"/>
      <c r="AQ23" s="6"/>
      <c r="AR23" s="7"/>
      <c r="AS23" s="8"/>
      <c r="AT23" s="6"/>
      <c r="AU23" s="8"/>
      <c r="AV23" s="6"/>
      <c r="AW23" s="8"/>
      <c r="AX23" s="8"/>
      <c r="AY23" s="6"/>
      <c r="AZ23" s="6"/>
      <c r="BA23" s="8"/>
      <c r="BB23" s="8"/>
      <c r="BC23" s="8"/>
      <c r="BD23" s="28"/>
      <c r="BE23" s="7"/>
      <c r="BF23" s="8"/>
      <c r="BG23" s="7"/>
      <c r="BH23" s="7"/>
      <c r="BI23" s="6"/>
      <c r="BJ23" s="7"/>
      <c r="BK23" s="8"/>
      <c r="BL23" s="6"/>
      <c r="BM23" s="8"/>
      <c r="BN23" s="6"/>
      <c r="BO23" s="8"/>
      <c r="BP23" s="8"/>
      <c r="BQ23" s="6"/>
      <c r="BR23" s="6"/>
      <c r="BS23" s="8"/>
      <c r="BT23" s="8"/>
      <c r="BU23" s="8"/>
      <c r="BV23" s="28"/>
      <c r="BW23" s="7"/>
      <c r="BX23" s="8"/>
      <c r="BY23" s="7"/>
      <c r="BZ23" s="7"/>
      <c r="CA23" s="6"/>
      <c r="CB23" s="7"/>
      <c r="CC23" s="8"/>
      <c r="CD23" s="6"/>
      <c r="CE23" s="8"/>
      <c r="CF23" s="6"/>
      <c r="CG23" s="8"/>
      <c r="CH23" s="8"/>
      <c r="CI23" s="6"/>
      <c r="CJ23" s="6"/>
      <c r="CK23" s="8"/>
      <c r="CL23" s="8"/>
      <c r="CM23" s="8"/>
      <c r="CN23" s="28"/>
      <c r="CO23" s="7"/>
      <c r="CP23" s="8"/>
      <c r="CQ23" s="7"/>
      <c r="CR23" s="7"/>
      <c r="CS23" s="6"/>
      <c r="CT23" s="7"/>
      <c r="CU23" s="8"/>
      <c r="CV23" s="6"/>
      <c r="CW23" s="8"/>
      <c r="CX23" s="6"/>
      <c r="CY23" s="8"/>
      <c r="CZ23" s="8"/>
      <c r="DA23" s="6"/>
      <c r="DB23" s="6"/>
      <c r="DC23" s="8"/>
      <c r="DD23" s="8"/>
      <c r="DE23" s="8"/>
      <c r="DF23" s="28"/>
      <c r="DG23" s="7"/>
      <c r="DH23" s="8"/>
      <c r="DI23" s="7"/>
      <c r="DJ23" s="7"/>
      <c r="DK23" s="6"/>
      <c r="DL23" s="7"/>
      <c r="DM23" s="8"/>
      <c r="DN23" s="6"/>
      <c r="DO23" s="8"/>
      <c r="DP23" s="6"/>
      <c r="DQ23" s="8"/>
      <c r="DR23" s="8"/>
      <c r="DS23" s="6"/>
      <c r="DT23" s="6"/>
      <c r="DU23" s="8"/>
      <c r="DV23" s="8"/>
      <c r="DW23" s="8"/>
      <c r="DX23" s="28"/>
      <c r="DY23" s="7"/>
      <c r="DZ23" s="8"/>
      <c r="EA23" s="7"/>
      <c r="EB23" s="7"/>
      <c r="EC23" s="6"/>
      <c r="ED23" s="7"/>
      <c r="EE23" s="8"/>
      <c r="EF23" s="6"/>
      <c r="EG23" s="8"/>
      <c r="EH23" s="6"/>
      <c r="EI23" s="8"/>
      <c r="EJ23" s="8"/>
      <c r="EK23" s="6"/>
      <c r="EL23" s="6"/>
      <c r="EM23" s="8"/>
      <c r="EN23" s="8"/>
      <c r="EO23" s="8"/>
      <c r="EP23" s="28"/>
      <c r="EQ23" s="7"/>
      <c r="ER23" s="8"/>
      <c r="ES23" s="7"/>
      <c r="ET23" s="7"/>
      <c r="EU23" s="6"/>
      <c r="EV23" s="7"/>
      <c r="EW23" s="8"/>
      <c r="EX23" s="6"/>
      <c r="EY23" s="8"/>
      <c r="EZ23" s="6"/>
      <c r="FA23" s="8"/>
      <c r="FB23" s="8"/>
      <c r="FC23" s="6"/>
      <c r="FD23" s="6"/>
      <c r="FE23" s="8"/>
      <c r="FF23" s="8"/>
      <c r="FG23" s="8"/>
      <c r="FH23" s="28"/>
      <c r="FI23" s="7"/>
      <c r="FJ23" s="8"/>
      <c r="FK23" s="7"/>
      <c r="FL23" s="7"/>
      <c r="FM23" s="6"/>
      <c r="FN23" s="7"/>
      <c r="FO23" s="8"/>
      <c r="FP23" s="6"/>
      <c r="FQ23" s="8"/>
      <c r="FR23" s="6"/>
      <c r="FS23" s="8"/>
      <c r="FT23" s="8"/>
      <c r="FU23" s="6"/>
      <c r="FV23" s="6"/>
      <c r="FW23" s="8"/>
      <c r="FX23" s="8"/>
      <c r="FY23" s="8"/>
      <c r="FZ23" s="28"/>
      <c r="GA23" s="7"/>
      <c r="GB23" s="8"/>
      <c r="GC23" s="7"/>
      <c r="GD23" s="7"/>
      <c r="GE23" s="6"/>
      <c r="GF23" s="7"/>
      <c r="GG23" s="8"/>
      <c r="GH23" s="6"/>
      <c r="GI23" s="8"/>
      <c r="GJ23" s="6"/>
      <c r="GK23" s="8"/>
      <c r="GL23" s="8"/>
      <c r="GM23" s="6"/>
      <c r="GN23" s="6"/>
      <c r="GO23" s="8"/>
      <c r="GP23" s="8"/>
      <c r="GQ23" s="8"/>
      <c r="GR23" s="28"/>
      <c r="GS23" s="7"/>
      <c r="GT23" s="8"/>
      <c r="GU23" s="7"/>
      <c r="GV23" s="7"/>
      <c r="GW23" s="6"/>
      <c r="GX23" s="7"/>
      <c r="GY23" s="8"/>
      <c r="GZ23" s="6"/>
      <c r="HA23" s="8"/>
      <c r="HB23" s="6"/>
      <c r="HC23" s="8"/>
      <c r="HD23" s="8"/>
      <c r="HE23" s="6"/>
      <c r="HF23" s="6"/>
      <c r="HG23" s="8"/>
      <c r="HH23" s="8"/>
      <c r="HI23" s="8"/>
      <c r="HJ23" s="28"/>
      <c r="HK23" s="7"/>
      <c r="HL23" s="8"/>
      <c r="HM23" s="7"/>
      <c r="HN23" s="7"/>
      <c r="HO23" s="6"/>
      <c r="HP23" s="7"/>
      <c r="HQ23" s="8"/>
      <c r="HR23" s="6"/>
      <c r="HS23" s="8"/>
      <c r="HT23" s="6"/>
      <c r="HU23" s="8"/>
      <c r="HV23" s="8"/>
      <c r="HW23" s="6"/>
      <c r="HX23" s="6"/>
      <c r="HY23" s="8"/>
      <c r="HZ23" s="8"/>
      <c r="IA23" s="8"/>
      <c r="IB23" s="28"/>
      <c r="IC23" s="7"/>
      <c r="ID23" s="8"/>
      <c r="IE23" s="7"/>
      <c r="IF23" s="7"/>
      <c r="IG23" s="6"/>
      <c r="IH23" s="7"/>
      <c r="II23" s="8"/>
      <c r="IJ23" s="6"/>
      <c r="IK23" s="8"/>
      <c r="IL23" s="6"/>
      <c r="IM23" s="8"/>
      <c r="IN23" s="8"/>
      <c r="IO23" s="6"/>
      <c r="IP23" s="6"/>
      <c r="IQ23" s="8"/>
      <c r="IR23" s="8"/>
      <c r="IS23" s="8"/>
      <c r="IT23" s="28"/>
      <c r="IU23" s="7"/>
      <c r="IV23" s="8"/>
      <c r="IW23" s="7"/>
      <c r="IX23" s="7"/>
      <c r="IY23" s="6"/>
      <c r="IZ23" s="7"/>
      <c r="JA23" s="8"/>
      <c r="JB23" s="6"/>
      <c r="JC23" s="8"/>
      <c r="JD23" s="6"/>
      <c r="JE23" s="8"/>
      <c r="JF23" s="8"/>
      <c r="JG23" s="6"/>
      <c r="JH23" s="6"/>
      <c r="JI23" s="8"/>
      <c r="JJ23" s="8"/>
      <c r="JK23" s="8"/>
      <c r="JL23" s="28"/>
      <c r="JM23" s="7"/>
      <c r="JN23" s="8"/>
      <c r="JO23" s="7"/>
      <c r="JP23" s="7"/>
      <c r="JQ23" s="6"/>
      <c r="JR23" s="7"/>
      <c r="JS23" s="8"/>
      <c r="JT23" s="6"/>
      <c r="JU23" s="8"/>
      <c r="JV23" s="6"/>
      <c r="JW23" s="8"/>
      <c r="JX23" s="8"/>
      <c r="JY23" s="6"/>
      <c r="JZ23" s="6"/>
      <c r="KA23" s="8"/>
      <c r="KB23" s="8"/>
      <c r="KC23" s="8"/>
      <c r="KD23" s="28"/>
      <c r="KE23" s="7"/>
      <c r="KF23" s="8"/>
      <c r="KG23" s="7"/>
      <c r="KH23" s="7"/>
      <c r="KI23" s="6"/>
      <c r="KJ23" s="7"/>
      <c r="KK23" s="8"/>
      <c r="KL23" s="6"/>
      <c r="KM23" s="8"/>
      <c r="KN23" s="6"/>
      <c r="KO23" s="8"/>
      <c r="KP23" s="8"/>
      <c r="KQ23" s="6"/>
      <c r="KR23" s="6"/>
      <c r="KS23" s="8"/>
      <c r="KT23" s="8"/>
      <c r="KU23" s="8"/>
      <c r="KV23" s="28"/>
      <c r="KW23" s="7"/>
      <c r="KX23" s="8"/>
      <c r="KY23" s="7"/>
      <c r="KZ23" s="7"/>
      <c r="LA23" s="6"/>
      <c r="LB23" s="7"/>
      <c r="LC23" s="8"/>
      <c r="LD23" s="6"/>
      <c r="LE23" s="8"/>
      <c r="LF23" s="6"/>
      <c r="LG23" s="8"/>
      <c r="LH23" s="8"/>
      <c r="LI23" s="6"/>
      <c r="LJ23" s="6"/>
      <c r="LK23" s="8"/>
      <c r="LL23" s="8"/>
      <c r="LM23" s="8"/>
      <c r="LN23" s="28"/>
      <c r="LO23" s="7"/>
      <c r="LP23" s="8"/>
      <c r="LQ23" s="7"/>
      <c r="LR23" s="7"/>
      <c r="LS23" s="6"/>
      <c r="LT23" s="7"/>
      <c r="LU23" s="8"/>
      <c r="LV23" s="6"/>
      <c r="LW23" s="8"/>
      <c r="LX23" s="6"/>
      <c r="LY23" s="8"/>
      <c r="LZ23" s="8"/>
      <c r="MA23" s="6"/>
      <c r="MB23" s="6"/>
      <c r="MC23" s="8"/>
      <c r="MD23" s="8"/>
      <c r="ME23" s="8"/>
      <c r="MF23" s="28"/>
      <c r="MG23" s="7"/>
      <c r="MH23" s="8"/>
      <c r="MI23" s="7"/>
      <c r="MJ23" s="7"/>
      <c r="MK23" s="6"/>
      <c r="ML23" s="7"/>
      <c r="MM23" s="8"/>
      <c r="MN23" s="6"/>
      <c r="MO23" s="8"/>
      <c r="MP23" s="6"/>
      <c r="MQ23" s="8"/>
      <c r="MR23" s="8"/>
      <c r="MS23" s="6"/>
      <c r="MT23" s="6"/>
      <c r="MU23" s="8"/>
      <c r="MV23" s="8"/>
      <c r="MW23" s="8"/>
      <c r="MX23" s="28"/>
      <c r="MY23" s="7"/>
      <c r="MZ23" s="8"/>
      <c r="NA23" s="7"/>
      <c r="NB23" s="7"/>
      <c r="NC23" s="6"/>
      <c r="ND23" s="7"/>
      <c r="NE23" s="8"/>
      <c r="NF23" s="6"/>
      <c r="NG23" s="8"/>
      <c r="NH23" s="6"/>
      <c r="NI23" s="8"/>
      <c r="NJ23" s="8"/>
      <c r="NK23" s="6"/>
      <c r="NL23" s="6"/>
      <c r="NM23" s="8"/>
      <c r="NN23" s="8"/>
      <c r="NO23" s="8"/>
      <c r="NP23" s="28"/>
      <c r="NQ23" s="7"/>
      <c r="NR23" s="8"/>
      <c r="NS23" s="7"/>
      <c r="NT23" s="7"/>
      <c r="NU23" s="6"/>
      <c r="NV23" s="7"/>
      <c r="NW23" s="8"/>
      <c r="NX23" s="6"/>
      <c r="NY23" s="8"/>
      <c r="NZ23" s="6"/>
      <c r="OA23" s="8"/>
      <c r="OB23" s="8"/>
      <c r="OC23" s="6"/>
      <c r="OD23" s="6"/>
      <c r="OE23" s="8"/>
      <c r="OF23" s="8"/>
      <c r="OG23" s="8"/>
      <c r="OH23" s="28"/>
      <c r="OI23" s="7"/>
      <c r="OJ23" s="8"/>
      <c r="OK23" s="7"/>
      <c r="OL23" s="7"/>
      <c r="OM23" s="6"/>
      <c r="ON23" s="7"/>
      <c r="OO23" s="8"/>
      <c r="OP23" s="6"/>
      <c r="OQ23" s="8"/>
      <c r="OR23" s="6"/>
      <c r="OS23" s="8"/>
      <c r="OT23" s="8"/>
      <c r="OU23" s="6"/>
      <c r="OV23" s="6"/>
      <c r="OW23" s="8"/>
      <c r="OX23" s="8"/>
      <c r="OY23" s="8"/>
      <c r="OZ23" s="28"/>
      <c r="PA23" s="7"/>
      <c r="PB23" s="8"/>
      <c r="PC23" s="7"/>
      <c r="PD23" s="7"/>
      <c r="PE23" s="6"/>
      <c r="PF23" s="7"/>
      <c r="PG23" s="8"/>
      <c r="PH23" s="6"/>
      <c r="PI23" s="8"/>
      <c r="PJ23" s="6"/>
      <c r="PK23" s="8"/>
      <c r="PL23" s="8"/>
      <c r="PM23" s="6"/>
      <c r="PN23" s="6"/>
      <c r="PO23" s="8"/>
      <c r="PP23" s="8"/>
      <c r="PQ23" s="8"/>
      <c r="PR23" s="28"/>
      <c r="PS23" s="7"/>
      <c r="PT23" s="8"/>
      <c r="PU23" s="7"/>
      <c r="PV23" s="7"/>
      <c r="PW23" s="6"/>
      <c r="PX23" s="7"/>
      <c r="PY23" s="8"/>
      <c r="PZ23" s="6"/>
      <c r="QA23" s="8"/>
      <c r="QB23" s="6"/>
      <c r="QC23" s="8"/>
      <c r="QD23" s="8"/>
      <c r="QE23" s="6"/>
      <c r="QF23" s="6"/>
      <c r="QG23" s="8"/>
      <c r="QH23" s="8"/>
      <c r="QI23" s="8"/>
      <c r="QJ23" s="28"/>
      <c r="QK23" s="7"/>
      <c r="QL23" s="8"/>
      <c r="QM23" s="7"/>
      <c r="QN23" s="7"/>
      <c r="QO23" s="6"/>
      <c r="QP23" s="7"/>
      <c r="QQ23" s="8"/>
      <c r="QR23" s="6"/>
      <c r="QS23" s="8"/>
      <c r="QT23" s="6"/>
      <c r="QU23" s="8"/>
      <c r="QV23" s="8"/>
      <c r="QW23" s="6"/>
      <c r="QX23" s="6"/>
      <c r="QY23" s="8"/>
      <c r="QZ23" s="8"/>
      <c r="RA23" s="8"/>
      <c r="RB23" s="28"/>
      <c r="RC23" s="7"/>
      <c r="RD23" s="8"/>
      <c r="RE23" s="7"/>
      <c r="RF23" s="7"/>
      <c r="RG23" s="6"/>
      <c r="RH23" s="7"/>
      <c r="RI23" s="8"/>
      <c r="RJ23" s="6"/>
      <c r="RK23" s="8"/>
      <c r="RL23" s="6"/>
      <c r="RM23" s="8"/>
      <c r="RN23" s="8"/>
      <c r="RO23" s="6"/>
      <c r="RP23" s="6"/>
      <c r="RQ23" s="8"/>
      <c r="RR23" s="8"/>
      <c r="RS23" s="8"/>
      <c r="RT23" s="28"/>
      <c r="RU23" s="7"/>
      <c r="RV23" s="8"/>
      <c r="RW23" s="7"/>
      <c r="RX23" s="7"/>
      <c r="RY23" s="6"/>
      <c r="RZ23" s="7"/>
      <c r="SA23" s="8"/>
      <c r="SB23" s="6"/>
      <c r="SC23" s="8"/>
      <c r="SD23" s="6"/>
      <c r="SE23" s="8"/>
      <c r="SF23" s="8"/>
      <c r="SG23" s="6"/>
      <c r="SH23" s="6"/>
      <c r="SI23" s="8"/>
      <c r="SJ23" s="8"/>
      <c r="SK23" s="8"/>
      <c r="SL23" s="28"/>
      <c r="SM23" s="7"/>
      <c r="SN23" s="8"/>
      <c r="SO23" s="7"/>
      <c r="SP23" s="7"/>
      <c r="SQ23" s="6"/>
      <c r="SR23" s="7"/>
      <c r="SS23" s="8"/>
      <c r="ST23" s="6"/>
      <c r="SU23" s="8"/>
      <c r="SV23" s="6"/>
      <c r="SW23" s="8"/>
      <c r="SX23" s="8"/>
      <c r="SY23" s="6"/>
      <c r="SZ23" s="6"/>
      <c r="TA23" s="8"/>
      <c r="TB23" s="8"/>
      <c r="TC23" s="8"/>
      <c r="TD23" s="28"/>
      <c r="TE23" s="7"/>
      <c r="TF23" s="8"/>
      <c r="TG23" s="7"/>
      <c r="TH23" s="7"/>
      <c r="TI23" s="6"/>
      <c r="TJ23" s="7"/>
      <c r="TK23" s="8"/>
      <c r="TL23" s="6"/>
      <c r="TM23" s="8"/>
      <c r="TN23" s="6"/>
      <c r="TO23" s="8"/>
      <c r="TP23" s="8"/>
      <c r="TQ23" s="6"/>
      <c r="TR23" s="6"/>
      <c r="TS23" s="8"/>
      <c r="TT23" s="8"/>
      <c r="TU23" s="8"/>
      <c r="TV23" s="28"/>
      <c r="TW23" s="7"/>
      <c r="TX23" s="8"/>
      <c r="TY23" s="7"/>
      <c r="TZ23" s="7"/>
      <c r="UA23" s="6"/>
      <c r="UB23" s="7"/>
      <c r="UC23" s="8"/>
      <c r="UD23" s="6"/>
      <c r="UE23" s="8"/>
      <c r="UF23" s="6"/>
      <c r="UG23" s="8"/>
      <c r="UH23" s="8"/>
      <c r="UI23" s="6"/>
      <c r="UJ23" s="6"/>
      <c r="UK23" s="8"/>
      <c r="UL23" s="8"/>
      <c r="UM23" s="8"/>
      <c r="UN23" s="28"/>
      <c r="UO23" s="7"/>
      <c r="UP23" s="8"/>
      <c r="UQ23" s="7"/>
      <c r="UR23" s="7"/>
      <c r="US23" s="6"/>
      <c r="UT23" s="7"/>
      <c r="UU23" s="8"/>
      <c r="UV23" s="6"/>
      <c r="UW23" s="8"/>
      <c r="UX23" s="6"/>
      <c r="UY23" s="8"/>
      <c r="UZ23" s="8"/>
      <c r="VA23" s="6"/>
      <c r="VB23" s="6"/>
      <c r="VC23" s="8"/>
      <c r="VD23" s="8"/>
      <c r="VE23" s="8"/>
      <c r="VF23" s="28"/>
      <c r="VG23" s="7"/>
      <c r="VH23" s="8"/>
      <c r="VI23" s="7"/>
      <c r="VJ23" s="7"/>
      <c r="VK23" s="6"/>
      <c r="VL23" s="7"/>
      <c r="VM23" s="8"/>
      <c r="VN23" s="6"/>
      <c r="VO23" s="8"/>
      <c r="VP23" s="6"/>
      <c r="VQ23" s="8"/>
      <c r="VR23" s="8"/>
      <c r="VS23" s="6"/>
      <c r="VT23" s="6"/>
      <c r="VU23" s="8"/>
      <c r="VV23" s="8"/>
      <c r="VW23" s="8"/>
      <c r="VX23" s="28"/>
      <c r="VY23" s="7"/>
      <c r="VZ23" s="8"/>
      <c r="WA23" s="7"/>
      <c r="WB23" s="7"/>
      <c r="WC23" s="6"/>
      <c r="WD23" s="7"/>
      <c r="WE23" s="8"/>
      <c r="WF23" s="6"/>
      <c r="WG23" s="8"/>
      <c r="WH23" s="6"/>
      <c r="WI23" s="8"/>
      <c r="WJ23" s="8"/>
      <c r="WK23" s="6"/>
      <c r="WL23" s="6"/>
      <c r="WM23" s="8"/>
      <c r="WN23" s="8"/>
      <c r="WO23" s="8"/>
      <c r="WP23" s="28"/>
      <c r="WQ23" s="7"/>
      <c r="WR23" s="8"/>
      <c r="WS23" s="7"/>
      <c r="WT23" s="7"/>
      <c r="WU23" s="6"/>
      <c r="WV23" s="7"/>
      <c r="WW23" s="8"/>
      <c r="WX23" s="6"/>
      <c r="WY23" s="8"/>
      <c r="WZ23" s="6"/>
      <c r="XA23" s="8"/>
      <c r="XB23" s="8"/>
      <c r="XC23" s="6"/>
      <c r="XD23" s="6"/>
      <c r="XE23" s="8"/>
      <c r="XF23" s="8"/>
      <c r="XG23" s="8"/>
      <c r="XH23" s="28"/>
      <c r="XI23" s="7"/>
      <c r="XJ23" s="8"/>
      <c r="XK23" s="7"/>
      <c r="XL23" s="7"/>
      <c r="XM23" s="6"/>
      <c r="XN23" s="7"/>
      <c r="XO23" s="8"/>
      <c r="XP23" s="6"/>
      <c r="XQ23" s="8"/>
      <c r="XR23" s="6"/>
      <c r="XS23" s="8"/>
      <c r="XT23" s="8"/>
      <c r="XU23" s="6"/>
      <c r="XV23" s="6"/>
      <c r="XW23" s="8"/>
      <c r="XX23" s="8"/>
      <c r="XY23" s="8"/>
      <c r="XZ23" s="28"/>
      <c r="YA23" s="7"/>
      <c r="YB23" s="8"/>
      <c r="YC23" s="7"/>
      <c r="YD23" s="7"/>
      <c r="YE23" s="6"/>
      <c r="YF23" s="7"/>
      <c r="YG23" s="8"/>
      <c r="YH23" s="6"/>
      <c r="YI23" s="8"/>
      <c r="YJ23" s="6"/>
      <c r="YK23" s="8"/>
      <c r="YL23" s="8"/>
      <c r="YM23" s="6"/>
      <c r="YN23" s="6"/>
      <c r="YO23" s="8"/>
      <c r="YP23" s="8"/>
      <c r="YQ23" s="8"/>
      <c r="YR23" s="28"/>
      <c r="YS23" s="7"/>
      <c r="YT23" s="8"/>
      <c r="YU23" s="7"/>
      <c r="YV23" s="7"/>
      <c r="YW23" s="6"/>
      <c r="YX23" s="7"/>
      <c r="YY23" s="8"/>
      <c r="YZ23" s="6"/>
      <c r="ZA23" s="8"/>
      <c r="ZB23" s="6"/>
      <c r="ZC23" s="8"/>
      <c r="ZD23" s="8"/>
      <c r="ZE23" s="6"/>
      <c r="ZF23" s="6"/>
      <c r="ZG23" s="8"/>
      <c r="ZH23" s="8"/>
      <c r="ZI23" s="8"/>
      <c r="ZJ23" s="28"/>
      <c r="ZK23" s="7"/>
      <c r="ZL23" s="8"/>
      <c r="ZM23" s="7"/>
      <c r="ZN23" s="7"/>
      <c r="ZO23" s="6"/>
      <c r="ZP23" s="7"/>
      <c r="ZQ23" s="8"/>
      <c r="ZR23" s="6"/>
      <c r="ZS23" s="8"/>
      <c r="ZT23" s="6"/>
      <c r="ZU23" s="8"/>
      <c r="ZV23" s="8"/>
      <c r="ZW23" s="6"/>
      <c r="ZX23" s="6"/>
      <c r="ZY23" s="8"/>
      <c r="ZZ23" s="8"/>
      <c r="AAA23" s="8"/>
      <c r="AAB23" s="28"/>
      <c r="AAC23" s="7"/>
      <c r="AAD23" s="8"/>
      <c r="AAE23" s="7"/>
      <c r="AAF23" s="7"/>
      <c r="AAG23" s="6"/>
      <c r="AAH23" s="7"/>
      <c r="AAI23" s="8"/>
      <c r="AAJ23" s="6"/>
      <c r="AAK23" s="8"/>
      <c r="AAL23" s="6"/>
      <c r="AAM23" s="8"/>
      <c r="AAN23" s="8"/>
      <c r="AAO23" s="6"/>
      <c r="AAP23" s="6"/>
      <c r="AAQ23" s="8"/>
      <c r="AAR23" s="8"/>
      <c r="AAS23" s="8"/>
      <c r="AAT23" s="28"/>
      <c r="AAU23" s="7"/>
      <c r="AAV23" s="8"/>
      <c r="AAW23" s="7"/>
      <c r="AAX23" s="7"/>
      <c r="AAY23" s="6"/>
      <c r="AAZ23" s="7"/>
      <c r="ABA23" s="8"/>
      <c r="ABB23" s="6"/>
      <c r="ABC23" s="8"/>
      <c r="ABD23" s="6"/>
      <c r="ABE23" s="8"/>
      <c r="ABF23" s="8"/>
      <c r="ABG23" s="6"/>
      <c r="ABH23" s="6"/>
      <c r="ABI23" s="8"/>
      <c r="ABJ23" s="8"/>
      <c r="ABK23" s="8"/>
      <c r="ABL23" s="28"/>
      <c r="ABM23" s="7"/>
      <c r="ABN23" s="8"/>
      <c r="ABO23" s="7"/>
      <c r="ABP23" s="7"/>
      <c r="ABQ23" s="6"/>
      <c r="ABR23" s="7"/>
      <c r="ABS23" s="8"/>
      <c r="ABT23" s="6"/>
      <c r="ABU23" s="8"/>
      <c r="ABV23" s="6"/>
      <c r="ABW23" s="8"/>
      <c r="ABX23" s="8"/>
      <c r="ABY23" s="6"/>
      <c r="ABZ23" s="6"/>
      <c r="ACA23" s="8"/>
      <c r="ACB23" s="8"/>
      <c r="ACC23" s="8"/>
      <c r="ACD23" s="28"/>
      <c r="ACE23" s="7"/>
      <c r="ACF23" s="8"/>
      <c r="ACG23" s="7"/>
      <c r="ACH23" s="7"/>
      <c r="ACI23" s="6"/>
      <c r="ACJ23" s="7"/>
      <c r="ACK23" s="8"/>
      <c r="ACL23" s="6"/>
      <c r="ACM23" s="8"/>
      <c r="ACN23" s="6"/>
      <c r="ACO23" s="8"/>
      <c r="ACP23" s="8"/>
      <c r="ACQ23" s="6"/>
      <c r="ACR23" s="6"/>
      <c r="ACS23" s="8"/>
      <c r="ACT23" s="8"/>
      <c r="ACU23" s="8"/>
      <c r="ACV23" s="28"/>
      <c r="ACW23" s="7"/>
      <c r="ACX23" s="8"/>
      <c r="ACY23" s="7"/>
      <c r="ACZ23" s="7"/>
      <c r="ADA23" s="6"/>
      <c r="ADB23" s="7"/>
      <c r="ADC23" s="8"/>
      <c r="ADD23" s="6"/>
      <c r="ADE23" s="8"/>
      <c r="ADF23" s="6"/>
      <c r="ADG23" s="8"/>
      <c r="ADH23" s="8"/>
      <c r="ADI23" s="6"/>
      <c r="ADJ23" s="6"/>
      <c r="ADK23" s="8"/>
      <c r="ADL23" s="8"/>
      <c r="ADM23" s="8"/>
      <c r="ADN23" s="28"/>
      <c r="ADO23" s="7"/>
      <c r="ADP23" s="8"/>
      <c r="ADQ23" s="7"/>
      <c r="ADR23" s="7"/>
      <c r="ADS23" s="6"/>
      <c r="ADT23" s="7"/>
      <c r="ADU23" s="8"/>
      <c r="ADV23" s="6"/>
      <c r="ADW23" s="8"/>
      <c r="ADX23" s="6"/>
      <c r="ADY23" s="8"/>
      <c r="ADZ23" s="8"/>
      <c r="AEA23" s="6"/>
      <c r="AEB23" s="6"/>
      <c r="AEC23" s="8"/>
      <c r="AED23" s="8"/>
      <c r="AEE23" s="8"/>
      <c r="AEF23" s="28"/>
      <c r="AEG23" s="7"/>
      <c r="AEH23" s="8"/>
      <c r="AEI23" s="7"/>
      <c r="AEJ23" s="7"/>
      <c r="AEK23" s="6"/>
      <c r="AEL23" s="7"/>
      <c r="AEM23" s="8"/>
      <c r="AEN23" s="6"/>
      <c r="AEO23" s="8"/>
      <c r="AEP23" s="6"/>
      <c r="AEQ23" s="8"/>
      <c r="AER23" s="8"/>
      <c r="AES23" s="6"/>
      <c r="AET23" s="6"/>
      <c r="AEU23" s="8"/>
      <c r="AEV23" s="8"/>
      <c r="AEW23" s="8"/>
      <c r="AEX23" s="28"/>
      <c r="AEY23" s="7"/>
      <c r="AEZ23" s="8"/>
      <c r="AFA23" s="7"/>
      <c r="AFB23" s="7"/>
      <c r="AFC23" s="6"/>
      <c r="AFD23" s="7"/>
      <c r="AFE23" s="8"/>
      <c r="AFF23" s="6"/>
      <c r="AFG23" s="8"/>
      <c r="AFH23" s="6"/>
      <c r="AFI23" s="8"/>
      <c r="AFJ23" s="8"/>
      <c r="AFK23" s="6"/>
      <c r="AFL23" s="6"/>
      <c r="AFM23" s="8"/>
      <c r="AFN23" s="8"/>
      <c r="AFO23" s="8"/>
      <c r="AFP23" s="28"/>
      <c r="AFQ23" s="7"/>
      <c r="AFR23" s="8"/>
      <c r="AFS23" s="7"/>
      <c r="AFT23" s="7"/>
      <c r="AFU23" s="6"/>
      <c r="AFV23" s="7"/>
      <c r="AFW23" s="8"/>
      <c r="AFX23" s="6"/>
      <c r="AFY23" s="8"/>
      <c r="AFZ23" s="6"/>
      <c r="AGA23" s="8"/>
      <c r="AGB23" s="8"/>
      <c r="AGC23" s="6"/>
      <c r="AGD23" s="6"/>
      <c r="AGE23" s="8"/>
      <c r="AGF23" s="8"/>
      <c r="AGG23" s="8"/>
      <c r="AGH23" s="28"/>
      <c r="AGI23" s="7"/>
      <c r="AGJ23" s="8"/>
      <c r="AGK23" s="7"/>
      <c r="AGL23" s="7"/>
      <c r="AGM23" s="6"/>
      <c r="AGN23" s="7"/>
      <c r="AGO23" s="8"/>
      <c r="AGP23" s="6"/>
      <c r="AGQ23" s="8"/>
      <c r="AGR23" s="6"/>
      <c r="AGS23" s="8"/>
      <c r="AGT23" s="8"/>
      <c r="AGU23" s="6"/>
      <c r="AGV23" s="6"/>
      <c r="AGW23" s="8"/>
      <c r="AGX23" s="8"/>
      <c r="AGY23" s="8"/>
      <c r="AGZ23" s="28"/>
      <c r="AHA23" s="7"/>
      <c r="AHB23" s="8"/>
      <c r="AHC23" s="7"/>
      <c r="AHD23" s="7"/>
      <c r="AHE23" s="6"/>
      <c r="AHF23" s="7"/>
      <c r="AHG23" s="8"/>
      <c r="AHH23" s="6"/>
      <c r="AHI23" s="8"/>
      <c r="AHJ23" s="6"/>
      <c r="AHK23" s="8"/>
      <c r="AHL23" s="8"/>
      <c r="AHM23" s="6"/>
      <c r="AHN23" s="6"/>
      <c r="AHO23" s="8"/>
      <c r="AHP23" s="8"/>
      <c r="AHQ23" s="8"/>
      <c r="AHR23" s="28"/>
      <c r="AHS23" s="7"/>
      <c r="AHT23" s="8"/>
      <c r="AHU23" s="7"/>
      <c r="AHV23" s="7"/>
      <c r="AHW23" s="6"/>
      <c r="AHX23" s="7"/>
      <c r="AHY23" s="8"/>
      <c r="AHZ23" s="6"/>
      <c r="AIA23" s="8"/>
      <c r="AIB23" s="6"/>
      <c r="AIC23" s="8"/>
      <c r="AID23" s="8"/>
      <c r="AIE23" s="6"/>
      <c r="AIF23" s="6"/>
      <c r="AIG23" s="8"/>
      <c r="AIH23" s="8"/>
      <c r="AII23" s="8"/>
      <c r="AIJ23" s="28"/>
      <c r="AIK23" s="7"/>
      <c r="AIL23" s="8"/>
      <c r="AIM23" s="7"/>
      <c r="AIN23" s="7"/>
      <c r="AIO23" s="6"/>
      <c r="AIP23" s="7"/>
      <c r="AIQ23" s="8"/>
      <c r="AIR23" s="6"/>
      <c r="AIS23" s="8"/>
      <c r="AIT23" s="6"/>
      <c r="AIU23" s="8"/>
      <c r="AIV23" s="8"/>
      <c r="AIW23" s="6"/>
      <c r="AIX23" s="6"/>
      <c r="AIY23" s="8"/>
      <c r="AIZ23" s="8"/>
      <c r="AJA23" s="8"/>
      <c r="AJB23" s="28"/>
      <c r="AJC23" s="7"/>
      <c r="AJD23" s="8"/>
      <c r="AJE23" s="7"/>
      <c r="AJF23" s="7"/>
      <c r="AJG23" s="6"/>
      <c r="AJH23" s="7"/>
      <c r="AJI23" s="8"/>
      <c r="AJJ23" s="6"/>
      <c r="AJK23" s="8"/>
      <c r="AJL23" s="6"/>
      <c r="AJM23" s="8"/>
      <c r="AJN23" s="8"/>
      <c r="AJO23" s="6"/>
      <c r="AJP23" s="6"/>
      <c r="AJQ23" s="8"/>
      <c r="AJR23" s="8"/>
      <c r="AJS23" s="8"/>
      <c r="AJT23" s="28"/>
      <c r="AJU23" s="7"/>
      <c r="AJV23" s="8"/>
      <c r="AJW23" s="7"/>
      <c r="AJX23" s="7"/>
      <c r="AJY23" s="6"/>
      <c r="AJZ23" s="7"/>
      <c r="AKA23" s="8"/>
      <c r="AKB23" s="6"/>
      <c r="AKC23" s="8"/>
      <c r="AKD23" s="6"/>
      <c r="AKE23" s="8"/>
      <c r="AKF23" s="8"/>
      <c r="AKG23" s="6"/>
      <c r="AKH23" s="6"/>
      <c r="AKI23" s="8"/>
      <c r="AKJ23" s="8"/>
      <c r="AKK23" s="8"/>
      <c r="AKL23" s="28"/>
      <c r="AKM23" s="7"/>
      <c r="AKN23" s="8"/>
      <c r="AKO23" s="7"/>
      <c r="AKP23" s="7"/>
      <c r="AKQ23" s="6"/>
      <c r="AKR23" s="7"/>
      <c r="AKS23" s="8"/>
      <c r="AKT23" s="6"/>
      <c r="AKU23" s="8"/>
      <c r="AKV23" s="6"/>
      <c r="AKW23" s="8"/>
      <c r="AKX23" s="8"/>
      <c r="AKY23" s="6"/>
      <c r="AKZ23" s="6"/>
      <c r="ALA23" s="8"/>
      <c r="ALB23" s="8"/>
      <c r="ALC23" s="8"/>
      <c r="ALD23" s="28"/>
      <c r="ALE23" s="7"/>
      <c r="ALF23" s="8"/>
      <c r="ALG23" s="7"/>
      <c r="ALH23" s="7"/>
      <c r="ALI23" s="6"/>
      <c r="ALJ23" s="7"/>
      <c r="ALK23" s="8"/>
      <c r="ALL23" s="6"/>
      <c r="ALM23" s="8"/>
      <c r="ALN23" s="6"/>
      <c r="ALO23" s="8"/>
      <c r="ALP23" s="8"/>
      <c r="ALQ23" s="6"/>
      <c r="ALR23" s="6"/>
      <c r="ALS23" s="8"/>
      <c r="ALT23" s="8"/>
      <c r="ALU23" s="8"/>
      <c r="ALV23" s="28"/>
      <c r="ALW23" s="7"/>
      <c r="ALX23" s="8"/>
      <c r="ALY23" s="7"/>
      <c r="ALZ23" s="7"/>
      <c r="AMA23" s="6"/>
      <c r="AMB23" s="7"/>
      <c r="AMC23" s="8"/>
      <c r="AMD23" s="6"/>
      <c r="AME23" s="8"/>
      <c r="AMF23" s="6"/>
      <c r="AMG23" s="8"/>
      <c r="AMH23" s="8"/>
      <c r="AMI23" s="6"/>
      <c r="AMJ23" s="6"/>
      <c r="AMK23" s="8"/>
      <c r="AML23" s="8"/>
      <c r="AMM23" s="8"/>
      <c r="AMN23" s="28"/>
      <c r="AMO23" s="7"/>
      <c r="AMP23" s="8"/>
      <c r="AMQ23" s="7"/>
      <c r="AMR23" s="7"/>
      <c r="AMS23" s="6"/>
      <c r="AMT23" s="7"/>
      <c r="AMU23" s="8"/>
      <c r="AMV23" s="6"/>
      <c r="AMW23" s="8"/>
      <c r="AMX23" s="6"/>
      <c r="AMY23" s="8"/>
      <c r="AMZ23" s="8"/>
      <c r="ANA23" s="6"/>
      <c r="ANB23" s="6"/>
      <c r="ANC23" s="8"/>
      <c r="AND23" s="8"/>
      <c r="ANE23" s="8"/>
      <c r="ANF23" s="28"/>
      <c r="ANG23" s="7"/>
      <c r="ANH23" s="8"/>
      <c r="ANI23" s="7"/>
      <c r="ANJ23" s="7"/>
      <c r="ANK23" s="6"/>
      <c r="ANL23" s="7"/>
      <c r="ANM23" s="8"/>
      <c r="ANN23" s="6"/>
      <c r="ANO23" s="8"/>
      <c r="ANP23" s="6"/>
      <c r="ANQ23" s="8"/>
      <c r="ANR23" s="8"/>
      <c r="ANS23" s="6"/>
      <c r="ANT23" s="6"/>
      <c r="ANU23" s="8"/>
      <c r="ANV23" s="8"/>
      <c r="ANW23" s="8"/>
      <c r="ANX23" s="28"/>
      <c r="ANY23" s="7"/>
      <c r="ANZ23" s="8"/>
      <c r="AOA23" s="7"/>
      <c r="AOB23" s="7"/>
      <c r="AOC23" s="6"/>
      <c r="AOD23" s="7"/>
      <c r="AOE23" s="8"/>
      <c r="AOF23" s="6"/>
      <c r="AOG23" s="8"/>
      <c r="AOH23" s="6"/>
      <c r="AOI23" s="8"/>
      <c r="AOJ23" s="8"/>
      <c r="AOK23" s="6"/>
      <c r="AOL23" s="6"/>
      <c r="AOM23" s="8"/>
      <c r="AON23" s="8"/>
      <c r="AOO23" s="8"/>
      <c r="AOP23" s="28"/>
      <c r="AOQ23" s="7"/>
      <c r="AOR23" s="8"/>
      <c r="AOS23" s="7"/>
      <c r="AOT23" s="7"/>
      <c r="AOU23" s="6"/>
      <c r="AOV23" s="7"/>
      <c r="AOW23" s="8"/>
      <c r="AOX23" s="6"/>
      <c r="AOY23" s="8"/>
      <c r="AOZ23" s="6"/>
      <c r="APA23" s="8"/>
      <c r="APB23" s="8"/>
      <c r="APC23" s="6"/>
      <c r="APD23" s="6"/>
      <c r="APE23" s="8"/>
      <c r="APF23" s="8"/>
      <c r="APG23" s="8"/>
      <c r="APH23" s="28"/>
      <c r="API23" s="7"/>
      <c r="APJ23" s="8"/>
      <c r="APK23" s="7"/>
      <c r="APL23" s="7"/>
      <c r="APM23" s="6"/>
      <c r="APN23" s="7"/>
      <c r="APO23" s="8"/>
      <c r="APP23" s="6"/>
      <c r="APQ23" s="8"/>
      <c r="APR23" s="6"/>
      <c r="APS23" s="8"/>
      <c r="APT23" s="8"/>
      <c r="APU23" s="6"/>
      <c r="APV23" s="6"/>
      <c r="APW23" s="8"/>
      <c r="APX23" s="8"/>
      <c r="APY23" s="8"/>
      <c r="APZ23" s="28"/>
      <c r="AQA23" s="7"/>
      <c r="AQB23" s="8"/>
      <c r="AQC23" s="7"/>
      <c r="AQD23" s="7"/>
      <c r="AQE23" s="6"/>
      <c r="AQF23" s="7"/>
      <c r="AQG23" s="8"/>
      <c r="AQH23" s="6"/>
      <c r="AQI23" s="8"/>
      <c r="AQJ23" s="6"/>
      <c r="AQK23" s="8"/>
      <c r="AQL23" s="8"/>
      <c r="AQM23" s="6"/>
      <c r="AQN23" s="6"/>
      <c r="AQO23" s="8"/>
      <c r="AQP23" s="8"/>
      <c r="AQQ23" s="8"/>
      <c r="AQR23" s="28"/>
      <c r="AQS23" s="7"/>
      <c r="AQT23" s="8"/>
      <c r="AQU23" s="7"/>
      <c r="AQV23" s="7"/>
      <c r="AQW23" s="6"/>
      <c r="AQX23" s="7"/>
      <c r="AQY23" s="8"/>
      <c r="AQZ23" s="6"/>
      <c r="ARA23" s="8"/>
      <c r="ARB23" s="6"/>
      <c r="ARC23" s="8"/>
      <c r="ARD23" s="8"/>
      <c r="ARE23" s="6"/>
      <c r="ARF23" s="6"/>
      <c r="ARG23" s="8"/>
      <c r="ARH23" s="8"/>
      <c r="ARI23" s="8"/>
      <c r="ARJ23" s="28"/>
      <c r="ARK23" s="7"/>
      <c r="ARL23" s="8"/>
      <c r="ARM23" s="7"/>
      <c r="ARN23" s="7"/>
      <c r="ARO23" s="6"/>
      <c r="ARP23" s="7"/>
      <c r="ARQ23" s="8"/>
      <c r="ARR23" s="6"/>
      <c r="ARS23" s="8"/>
      <c r="ART23" s="6"/>
      <c r="ARU23" s="8"/>
      <c r="ARV23" s="8"/>
      <c r="ARW23" s="6"/>
      <c r="ARX23" s="6"/>
      <c r="ARY23" s="8"/>
      <c r="ARZ23" s="8"/>
      <c r="ASA23" s="8"/>
      <c r="ASB23" s="28"/>
      <c r="ASC23" s="7"/>
      <c r="ASD23" s="8"/>
      <c r="ASE23" s="7"/>
      <c r="ASF23" s="7"/>
      <c r="ASG23" s="6"/>
      <c r="ASH23" s="7"/>
      <c r="ASI23" s="8"/>
      <c r="ASJ23" s="6"/>
      <c r="ASK23" s="8"/>
      <c r="ASL23" s="6"/>
      <c r="ASM23" s="8"/>
      <c r="ASN23" s="8"/>
      <c r="ASO23" s="6"/>
      <c r="ASP23" s="6"/>
      <c r="ASQ23" s="8"/>
      <c r="ASR23" s="8"/>
      <c r="ASS23" s="8"/>
      <c r="AST23" s="28"/>
      <c r="ASU23" s="7"/>
      <c r="ASV23" s="8"/>
      <c r="ASW23" s="7"/>
      <c r="ASX23" s="7"/>
      <c r="ASY23" s="6"/>
      <c r="ASZ23" s="7"/>
      <c r="ATA23" s="8"/>
      <c r="ATB23" s="6"/>
      <c r="ATC23" s="8"/>
      <c r="ATD23" s="6"/>
      <c r="ATE23" s="8"/>
      <c r="ATF23" s="8"/>
      <c r="ATG23" s="6"/>
      <c r="ATH23" s="6"/>
      <c r="ATI23" s="8"/>
      <c r="ATJ23" s="8"/>
      <c r="ATK23" s="8"/>
      <c r="ATL23" s="28"/>
      <c r="ATM23" s="7"/>
      <c r="ATN23" s="8"/>
      <c r="ATO23" s="7"/>
      <c r="ATP23" s="7"/>
      <c r="ATQ23" s="6"/>
      <c r="ATR23" s="7"/>
      <c r="ATS23" s="8"/>
      <c r="ATT23" s="6"/>
      <c r="ATU23" s="8"/>
      <c r="ATV23" s="6"/>
      <c r="ATW23" s="8"/>
      <c r="ATX23" s="8"/>
      <c r="ATY23" s="6"/>
      <c r="ATZ23" s="6"/>
      <c r="AUA23" s="8"/>
      <c r="AUB23" s="8"/>
      <c r="AUC23" s="8"/>
      <c r="AUD23" s="28"/>
      <c r="AUE23" s="7"/>
      <c r="AUF23" s="8"/>
      <c r="AUG23" s="7"/>
      <c r="AUH23" s="7"/>
      <c r="AUI23" s="6"/>
      <c r="AUJ23" s="7"/>
      <c r="AUK23" s="8"/>
      <c r="AUL23" s="6"/>
      <c r="AUM23" s="8"/>
      <c r="AUN23" s="6"/>
      <c r="AUO23" s="8"/>
      <c r="AUP23" s="8"/>
      <c r="AUQ23" s="6"/>
      <c r="AUR23" s="6"/>
      <c r="AUS23" s="8"/>
      <c r="AUT23" s="8"/>
      <c r="AUU23" s="8"/>
      <c r="AUV23" s="28"/>
      <c r="AUW23" s="7"/>
      <c r="AUX23" s="8"/>
      <c r="AUY23" s="7"/>
      <c r="AUZ23" s="7"/>
      <c r="AVA23" s="6"/>
      <c r="AVB23" s="7"/>
      <c r="AVC23" s="8"/>
      <c r="AVD23" s="6"/>
      <c r="AVE23" s="8"/>
      <c r="AVF23" s="6"/>
      <c r="AVG23" s="8"/>
      <c r="AVH23" s="8"/>
      <c r="AVI23" s="6"/>
      <c r="AVJ23" s="6"/>
      <c r="AVK23" s="8"/>
      <c r="AVL23" s="8"/>
      <c r="AVM23" s="8"/>
      <c r="AVN23" s="28"/>
      <c r="AVO23" s="7"/>
      <c r="AVP23" s="8"/>
      <c r="AVQ23" s="7"/>
      <c r="AVR23" s="7"/>
      <c r="AVS23" s="6"/>
      <c r="AVT23" s="7"/>
      <c r="AVU23" s="8"/>
      <c r="AVV23" s="6"/>
      <c r="AVW23" s="8"/>
      <c r="AVX23" s="6"/>
      <c r="AVY23" s="8"/>
      <c r="AVZ23" s="8"/>
      <c r="AWA23" s="6"/>
      <c r="AWB23" s="6"/>
      <c r="AWC23" s="8"/>
      <c r="AWD23" s="8"/>
      <c r="AWE23" s="8"/>
      <c r="AWF23" s="28"/>
      <c r="AWG23" s="7"/>
      <c r="AWH23" s="8"/>
      <c r="AWI23" s="7"/>
      <c r="AWJ23" s="7"/>
      <c r="AWK23" s="6"/>
      <c r="AWL23" s="7"/>
      <c r="AWM23" s="8"/>
      <c r="AWN23" s="6"/>
      <c r="AWO23" s="8"/>
      <c r="AWP23" s="6"/>
      <c r="AWQ23" s="8"/>
      <c r="AWR23" s="8"/>
      <c r="AWS23" s="6"/>
      <c r="AWT23" s="6"/>
      <c r="AWU23" s="8"/>
      <c r="AWV23" s="8"/>
      <c r="AWW23" s="8"/>
      <c r="AWX23" s="28"/>
      <c r="AWY23" s="7"/>
      <c r="AWZ23" s="8"/>
      <c r="AXA23" s="7"/>
      <c r="AXB23" s="7"/>
      <c r="AXC23" s="6"/>
      <c r="AXD23" s="7"/>
      <c r="AXE23" s="8"/>
      <c r="AXF23" s="6"/>
      <c r="AXG23" s="8"/>
      <c r="AXH23" s="6"/>
      <c r="AXI23" s="8"/>
      <c r="AXJ23" s="8"/>
      <c r="AXK23" s="6"/>
      <c r="AXL23" s="6"/>
      <c r="AXM23" s="8"/>
      <c r="AXN23" s="8"/>
      <c r="AXO23" s="8"/>
      <c r="AXP23" s="28"/>
      <c r="AXQ23" s="7"/>
      <c r="AXR23" s="8"/>
      <c r="AXS23" s="7"/>
      <c r="AXT23" s="7"/>
      <c r="AXU23" s="6"/>
      <c r="AXV23" s="7"/>
      <c r="AXW23" s="8"/>
      <c r="AXX23" s="6"/>
      <c r="AXY23" s="8"/>
      <c r="AXZ23" s="6"/>
      <c r="AYA23" s="8"/>
      <c r="AYB23" s="8"/>
      <c r="AYC23" s="6"/>
      <c r="AYD23" s="6"/>
      <c r="AYE23" s="8"/>
      <c r="AYF23" s="8"/>
      <c r="AYG23" s="8"/>
      <c r="AYH23" s="28"/>
      <c r="AYI23" s="7"/>
      <c r="AYJ23" s="8"/>
      <c r="AYK23" s="7"/>
      <c r="AYL23" s="7"/>
      <c r="AYM23" s="6"/>
      <c r="AYN23" s="7"/>
      <c r="AYO23" s="8"/>
      <c r="AYP23" s="6"/>
      <c r="AYQ23" s="8"/>
      <c r="AYR23" s="6"/>
      <c r="AYS23" s="8"/>
      <c r="AYT23" s="8"/>
      <c r="AYU23" s="6"/>
      <c r="AYV23" s="6"/>
      <c r="AYW23" s="8"/>
      <c r="AYX23" s="8"/>
      <c r="AYY23" s="8"/>
      <c r="AYZ23" s="28"/>
      <c r="AZA23" s="7"/>
      <c r="AZB23" s="8"/>
      <c r="AZC23" s="7"/>
      <c r="AZD23" s="7"/>
      <c r="AZE23" s="6"/>
      <c r="AZF23" s="7"/>
      <c r="AZG23" s="8"/>
      <c r="AZH23" s="6"/>
      <c r="AZI23" s="8"/>
      <c r="AZJ23" s="6"/>
      <c r="AZK23" s="8"/>
      <c r="AZL23" s="8"/>
      <c r="AZM23" s="6"/>
      <c r="AZN23" s="6"/>
      <c r="AZO23" s="8"/>
      <c r="AZP23" s="8"/>
      <c r="AZQ23" s="8"/>
      <c r="AZR23" s="28"/>
      <c r="AZS23" s="7"/>
      <c r="AZT23" s="8"/>
      <c r="AZU23" s="7"/>
      <c r="AZV23" s="7"/>
      <c r="AZW23" s="6"/>
      <c r="AZX23" s="7"/>
      <c r="AZY23" s="8"/>
      <c r="AZZ23" s="6"/>
      <c r="BAA23" s="8"/>
      <c r="BAB23" s="6"/>
      <c r="BAC23" s="8"/>
      <c r="BAD23" s="8"/>
      <c r="BAE23" s="6"/>
      <c r="BAF23" s="6"/>
      <c r="BAG23" s="8"/>
      <c r="BAH23" s="8"/>
      <c r="BAI23" s="8"/>
      <c r="BAJ23" s="28"/>
      <c r="BAK23" s="7"/>
      <c r="BAL23" s="8"/>
      <c r="BAM23" s="7"/>
      <c r="BAN23" s="7"/>
      <c r="BAO23" s="6"/>
      <c r="BAP23" s="7"/>
      <c r="BAQ23" s="8"/>
      <c r="BAR23" s="6"/>
      <c r="BAS23" s="8"/>
      <c r="BAT23" s="6"/>
      <c r="BAU23" s="8"/>
      <c r="BAV23" s="8"/>
      <c r="BAW23" s="6"/>
      <c r="BAX23" s="6"/>
      <c r="BAY23" s="8"/>
      <c r="BAZ23" s="8"/>
      <c r="BBA23" s="8"/>
      <c r="BBB23" s="28"/>
      <c r="BBC23" s="7"/>
      <c r="BBD23" s="8"/>
      <c r="BBE23" s="7"/>
      <c r="BBF23" s="7"/>
      <c r="BBG23" s="6"/>
      <c r="BBH23" s="7"/>
      <c r="BBI23" s="8"/>
      <c r="BBJ23" s="6"/>
      <c r="BBK23" s="8"/>
      <c r="BBL23" s="6"/>
      <c r="BBM23" s="8"/>
      <c r="BBN23" s="8"/>
      <c r="BBO23" s="6"/>
      <c r="BBP23" s="6"/>
      <c r="BBQ23" s="8"/>
      <c r="BBR23" s="8"/>
      <c r="BBS23" s="8"/>
      <c r="BBT23" s="28"/>
      <c r="BBU23" s="7"/>
      <c r="BBV23" s="8"/>
      <c r="BBW23" s="7"/>
      <c r="BBX23" s="7"/>
      <c r="BBY23" s="6"/>
      <c r="BBZ23" s="7"/>
      <c r="BCA23" s="8"/>
      <c r="BCB23" s="6"/>
      <c r="BCC23" s="8"/>
      <c r="BCD23" s="6"/>
      <c r="BCE23" s="8"/>
      <c r="BCF23" s="8"/>
      <c r="BCG23" s="6"/>
      <c r="BCH23" s="6"/>
      <c r="BCI23" s="8"/>
      <c r="BCJ23" s="8"/>
      <c r="BCK23" s="8"/>
      <c r="BCL23" s="28"/>
      <c r="BCM23" s="7"/>
      <c r="BCN23" s="8"/>
      <c r="BCO23" s="7"/>
      <c r="BCP23" s="7"/>
      <c r="BCQ23" s="6"/>
      <c r="BCR23" s="7"/>
      <c r="BCS23" s="8"/>
      <c r="BCT23" s="6"/>
      <c r="BCU23" s="8"/>
      <c r="BCV23" s="6"/>
      <c r="BCW23" s="8"/>
      <c r="BCX23" s="8"/>
      <c r="BCY23" s="6"/>
      <c r="BCZ23" s="6"/>
      <c r="BDA23" s="8"/>
      <c r="BDB23" s="8"/>
      <c r="BDC23" s="8"/>
      <c r="BDD23" s="28"/>
      <c r="BDE23" s="7"/>
      <c r="BDF23" s="8"/>
      <c r="BDG23" s="7"/>
      <c r="BDH23" s="7"/>
      <c r="BDI23" s="6"/>
      <c r="BDJ23" s="7"/>
      <c r="BDK23" s="8"/>
      <c r="BDL23" s="6"/>
      <c r="BDM23" s="8"/>
      <c r="BDN23" s="6"/>
      <c r="BDO23" s="8"/>
      <c r="BDP23" s="8"/>
      <c r="BDQ23" s="6"/>
      <c r="BDR23" s="6"/>
      <c r="BDS23" s="8"/>
      <c r="BDT23" s="8"/>
      <c r="BDU23" s="8"/>
      <c r="BDV23" s="28"/>
      <c r="BDW23" s="7"/>
      <c r="BDX23" s="8"/>
      <c r="BDY23" s="7"/>
      <c r="BDZ23" s="7"/>
      <c r="BEA23" s="6"/>
      <c r="BEB23" s="7"/>
      <c r="BEC23" s="8"/>
      <c r="BED23" s="6"/>
      <c r="BEE23" s="8"/>
      <c r="BEF23" s="6"/>
      <c r="BEG23" s="8"/>
      <c r="BEH23" s="8"/>
      <c r="BEI23" s="6"/>
      <c r="BEJ23" s="6"/>
      <c r="BEK23" s="8"/>
      <c r="BEL23" s="8"/>
      <c r="BEM23" s="8"/>
      <c r="BEN23" s="28"/>
      <c r="BEO23" s="7"/>
      <c r="BEP23" s="8"/>
      <c r="BEQ23" s="7"/>
      <c r="BER23" s="7"/>
      <c r="BES23" s="6"/>
      <c r="BET23" s="7"/>
      <c r="BEU23" s="8"/>
      <c r="BEV23" s="6"/>
      <c r="BEW23" s="8"/>
      <c r="BEX23" s="6"/>
      <c r="BEY23" s="8"/>
      <c r="BEZ23" s="8"/>
      <c r="BFA23" s="6"/>
      <c r="BFB23" s="6"/>
      <c r="BFC23" s="8"/>
      <c r="BFD23" s="8"/>
      <c r="BFE23" s="8"/>
      <c r="BFF23" s="28"/>
      <c r="BFG23" s="7"/>
      <c r="BFH23" s="8"/>
      <c r="BFI23" s="7"/>
      <c r="BFJ23" s="7"/>
      <c r="BFK23" s="6"/>
      <c r="BFL23" s="7"/>
      <c r="BFM23" s="8"/>
      <c r="BFN23" s="6"/>
      <c r="BFO23" s="8"/>
      <c r="BFP23" s="6"/>
      <c r="BFQ23" s="8"/>
      <c r="BFR23" s="8"/>
      <c r="BFS23" s="6"/>
      <c r="BFT23" s="6"/>
      <c r="BFU23" s="8"/>
      <c r="BFV23" s="8"/>
      <c r="BFW23" s="8"/>
      <c r="BFX23" s="28"/>
      <c r="BFY23" s="7"/>
      <c r="BFZ23" s="8"/>
      <c r="BGA23" s="7"/>
      <c r="BGB23" s="7"/>
      <c r="BGC23" s="6"/>
      <c r="BGD23" s="7"/>
      <c r="BGE23" s="8"/>
      <c r="BGF23" s="6"/>
      <c r="BGG23" s="8"/>
      <c r="BGH23" s="6"/>
      <c r="BGI23" s="8"/>
      <c r="BGJ23" s="8"/>
      <c r="BGK23" s="6"/>
      <c r="BGL23" s="6"/>
      <c r="BGM23" s="8"/>
      <c r="BGN23" s="8"/>
      <c r="BGO23" s="8"/>
      <c r="BGP23" s="28"/>
      <c r="BGQ23" s="7"/>
      <c r="BGR23" s="8"/>
      <c r="BGS23" s="7"/>
      <c r="BGT23" s="7"/>
      <c r="BGU23" s="6"/>
      <c r="BGV23" s="7"/>
      <c r="BGW23" s="8"/>
      <c r="BGX23" s="6"/>
      <c r="BGY23" s="8"/>
      <c r="BGZ23" s="6"/>
      <c r="BHA23" s="8"/>
      <c r="BHB23" s="8"/>
      <c r="BHC23" s="6"/>
      <c r="BHD23" s="6"/>
      <c r="BHE23" s="8"/>
      <c r="BHF23" s="8"/>
      <c r="BHG23" s="8"/>
      <c r="BHH23" s="28"/>
      <c r="BHI23" s="7"/>
      <c r="BHJ23" s="8"/>
      <c r="BHK23" s="7"/>
      <c r="BHL23" s="7"/>
      <c r="BHM23" s="6"/>
      <c r="BHN23" s="7"/>
      <c r="BHO23" s="8"/>
      <c r="BHP23" s="6"/>
      <c r="BHQ23" s="8"/>
      <c r="BHR23" s="6"/>
      <c r="BHS23" s="8"/>
      <c r="BHT23" s="8"/>
      <c r="BHU23" s="6"/>
      <c r="BHV23" s="6"/>
      <c r="BHW23" s="8"/>
      <c r="BHX23" s="8"/>
      <c r="BHY23" s="8"/>
      <c r="BHZ23" s="28"/>
      <c r="BIA23" s="7"/>
      <c r="BIB23" s="8"/>
      <c r="BIC23" s="7"/>
      <c r="BID23" s="7"/>
      <c r="BIE23" s="6"/>
      <c r="BIF23" s="7"/>
      <c r="BIG23" s="8"/>
      <c r="BIH23" s="6"/>
      <c r="BII23" s="8"/>
      <c r="BIJ23" s="6"/>
      <c r="BIK23" s="8"/>
      <c r="BIL23" s="8"/>
      <c r="BIM23" s="6"/>
      <c r="BIN23" s="6"/>
      <c r="BIO23" s="8"/>
      <c r="BIP23" s="8"/>
      <c r="BIQ23" s="8"/>
      <c r="BIR23" s="28"/>
      <c r="BIS23" s="7"/>
      <c r="BIT23" s="8"/>
      <c r="BIU23" s="7"/>
      <c r="BIV23" s="7"/>
      <c r="BIW23" s="6"/>
      <c r="BIX23" s="7"/>
      <c r="BIY23" s="8"/>
      <c r="BIZ23" s="6"/>
      <c r="BJA23" s="8"/>
      <c r="BJB23" s="6"/>
      <c r="BJC23" s="8"/>
      <c r="BJD23" s="8"/>
      <c r="BJE23" s="6"/>
      <c r="BJF23" s="6"/>
      <c r="BJG23" s="8"/>
      <c r="BJH23" s="8"/>
      <c r="BJI23" s="8"/>
      <c r="BJJ23" s="28"/>
      <c r="BJK23" s="7"/>
      <c r="BJL23" s="8"/>
      <c r="BJM23" s="7"/>
      <c r="BJN23" s="7"/>
      <c r="BJO23" s="6"/>
      <c r="BJP23" s="7"/>
      <c r="BJQ23" s="8"/>
      <c r="BJR23" s="6"/>
      <c r="BJS23" s="8"/>
      <c r="BJT23" s="6"/>
      <c r="BJU23" s="8"/>
      <c r="BJV23" s="8"/>
      <c r="BJW23" s="6"/>
      <c r="BJX23" s="6"/>
      <c r="BJY23" s="8"/>
      <c r="BJZ23" s="8"/>
      <c r="BKA23" s="8"/>
      <c r="BKB23" s="28"/>
      <c r="BKC23" s="7"/>
      <c r="BKD23" s="8"/>
      <c r="BKE23" s="7"/>
      <c r="BKF23" s="7"/>
      <c r="BKG23" s="6"/>
      <c r="BKH23" s="7"/>
      <c r="BKI23" s="8"/>
      <c r="BKJ23" s="6"/>
      <c r="BKK23" s="8"/>
      <c r="BKL23" s="6"/>
      <c r="BKM23" s="8"/>
      <c r="BKN23" s="8"/>
      <c r="BKO23" s="6"/>
      <c r="BKP23" s="6"/>
      <c r="BKQ23" s="8"/>
      <c r="BKR23" s="8"/>
      <c r="BKS23" s="8"/>
      <c r="BKT23" s="28"/>
      <c r="BKU23" s="7"/>
      <c r="BKV23" s="8"/>
      <c r="BKW23" s="7"/>
      <c r="BKX23" s="7"/>
      <c r="BKY23" s="6"/>
      <c r="BKZ23" s="7"/>
      <c r="BLA23" s="8"/>
      <c r="BLB23" s="6"/>
      <c r="BLC23" s="8"/>
      <c r="BLD23" s="6"/>
      <c r="BLE23" s="8"/>
      <c r="BLF23" s="8"/>
      <c r="BLG23" s="6"/>
      <c r="BLH23" s="6"/>
      <c r="BLI23" s="8"/>
      <c r="BLJ23" s="8"/>
      <c r="BLK23" s="8"/>
      <c r="BLL23" s="28"/>
      <c r="BLM23" s="7"/>
      <c r="BLN23" s="8"/>
      <c r="BLO23" s="7"/>
      <c r="BLP23" s="7"/>
      <c r="BLQ23" s="6"/>
      <c r="BLR23" s="7"/>
      <c r="BLS23" s="8"/>
      <c r="BLT23" s="6"/>
      <c r="BLU23" s="8"/>
      <c r="BLV23" s="6"/>
      <c r="BLW23" s="8"/>
      <c r="BLX23" s="8"/>
      <c r="BLY23" s="6"/>
      <c r="BLZ23" s="6"/>
      <c r="BMA23" s="8"/>
      <c r="BMB23" s="8"/>
      <c r="BMC23" s="8"/>
      <c r="BMD23" s="28"/>
      <c r="BME23" s="7"/>
      <c r="BMF23" s="8"/>
      <c r="BMG23" s="7"/>
      <c r="BMH23" s="7"/>
      <c r="BMI23" s="6"/>
      <c r="BMJ23" s="7"/>
      <c r="BMK23" s="8"/>
      <c r="BML23" s="6"/>
      <c r="BMM23" s="8"/>
      <c r="BMN23" s="6"/>
      <c r="BMO23" s="8"/>
      <c r="BMP23" s="8"/>
      <c r="BMQ23" s="6"/>
      <c r="BMR23" s="6"/>
      <c r="BMS23" s="8"/>
      <c r="BMT23" s="8"/>
      <c r="BMU23" s="8"/>
      <c r="BMV23" s="28"/>
      <c r="BMW23" s="7"/>
      <c r="BMX23" s="8"/>
      <c r="BMY23" s="7"/>
      <c r="BMZ23" s="7"/>
      <c r="BNA23" s="6"/>
      <c r="BNB23" s="7"/>
      <c r="BNC23" s="8"/>
      <c r="BND23" s="6"/>
      <c r="BNE23" s="8"/>
      <c r="BNF23" s="6"/>
      <c r="BNG23" s="8"/>
      <c r="BNH23" s="8"/>
      <c r="BNI23" s="6"/>
      <c r="BNJ23" s="6"/>
      <c r="BNK23" s="8"/>
      <c r="BNL23" s="8"/>
      <c r="BNM23" s="8"/>
      <c r="BNN23" s="28"/>
      <c r="BNO23" s="7"/>
      <c r="BNP23" s="8"/>
      <c r="BNQ23" s="7"/>
      <c r="BNR23" s="7"/>
      <c r="BNS23" s="6"/>
      <c r="BNT23" s="7"/>
      <c r="BNU23" s="8"/>
      <c r="BNV23" s="6"/>
      <c r="BNW23" s="8"/>
      <c r="BNX23" s="6"/>
      <c r="BNY23" s="8"/>
      <c r="BNZ23" s="8"/>
      <c r="BOA23" s="6"/>
      <c r="BOB23" s="6"/>
      <c r="BOC23" s="8"/>
      <c r="BOD23" s="8"/>
      <c r="BOE23" s="8"/>
      <c r="BOF23" s="28"/>
      <c r="BOG23" s="7"/>
      <c r="BOH23" s="8"/>
      <c r="BOI23" s="7"/>
      <c r="BOJ23" s="7"/>
      <c r="BOK23" s="6"/>
      <c r="BOL23" s="7"/>
      <c r="BOM23" s="8"/>
      <c r="BON23" s="6"/>
      <c r="BOO23" s="8"/>
      <c r="BOP23" s="6"/>
      <c r="BOQ23" s="8"/>
      <c r="BOR23" s="8"/>
      <c r="BOS23" s="6"/>
      <c r="BOT23" s="6"/>
      <c r="BOU23" s="8"/>
      <c r="BOV23" s="8"/>
      <c r="BOW23" s="8"/>
      <c r="BOX23" s="28"/>
      <c r="BOY23" s="7"/>
      <c r="BOZ23" s="8"/>
      <c r="BPA23" s="7"/>
      <c r="BPB23" s="7"/>
      <c r="BPC23" s="6"/>
      <c r="BPD23" s="7"/>
      <c r="BPE23" s="8"/>
      <c r="BPF23" s="6"/>
      <c r="BPG23" s="8"/>
      <c r="BPH23" s="6"/>
      <c r="BPI23" s="8"/>
      <c r="BPJ23" s="8"/>
      <c r="BPK23" s="6"/>
      <c r="BPL23" s="6"/>
      <c r="BPM23" s="8"/>
      <c r="BPN23" s="8"/>
      <c r="BPO23" s="8"/>
      <c r="BPP23" s="28"/>
      <c r="BPQ23" s="7"/>
      <c r="BPR23" s="8"/>
      <c r="BPS23" s="7"/>
      <c r="BPT23" s="7"/>
      <c r="BPU23" s="6"/>
      <c r="BPV23" s="7"/>
      <c r="BPW23" s="8"/>
      <c r="BPX23" s="6"/>
      <c r="BPY23" s="8"/>
      <c r="BPZ23" s="6"/>
      <c r="BQA23" s="8"/>
      <c r="BQB23" s="8"/>
      <c r="BQC23" s="6"/>
      <c r="BQD23" s="6"/>
      <c r="BQE23" s="8"/>
      <c r="BQF23" s="8"/>
      <c r="BQG23" s="8"/>
      <c r="BQH23" s="28"/>
      <c r="BQI23" s="7"/>
      <c r="BQJ23" s="8"/>
      <c r="BQK23" s="7"/>
      <c r="BQL23" s="7"/>
      <c r="BQM23" s="6"/>
      <c r="BQN23" s="7"/>
      <c r="BQO23" s="8"/>
      <c r="BQP23" s="6"/>
      <c r="BQQ23" s="8"/>
      <c r="BQR23" s="6"/>
      <c r="BQS23" s="8"/>
      <c r="BQT23" s="8"/>
      <c r="BQU23" s="6"/>
      <c r="BQV23" s="6"/>
      <c r="BQW23" s="8"/>
      <c r="BQX23" s="8"/>
      <c r="BQY23" s="8"/>
      <c r="BQZ23" s="28"/>
      <c r="BRA23" s="7"/>
      <c r="BRB23" s="8"/>
      <c r="BRC23" s="7"/>
      <c r="BRD23" s="7"/>
      <c r="BRE23" s="6"/>
      <c r="BRF23" s="7"/>
      <c r="BRG23" s="8"/>
      <c r="BRH23" s="6"/>
      <c r="BRI23" s="8"/>
      <c r="BRJ23" s="6"/>
      <c r="BRK23" s="8"/>
      <c r="BRL23" s="8"/>
      <c r="BRM23" s="6"/>
      <c r="BRN23" s="6"/>
      <c r="BRO23" s="8"/>
      <c r="BRP23" s="8"/>
      <c r="BRQ23" s="8"/>
      <c r="BRR23" s="28"/>
      <c r="BRS23" s="7"/>
      <c r="BRT23" s="8"/>
      <c r="BRU23" s="7"/>
      <c r="BRV23" s="7"/>
      <c r="BRW23" s="6"/>
      <c r="BRX23" s="7"/>
      <c r="BRY23" s="8"/>
      <c r="BRZ23" s="6"/>
      <c r="BSA23" s="8"/>
      <c r="BSB23" s="6"/>
      <c r="BSC23" s="8"/>
      <c r="BSD23" s="8"/>
      <c r="BSE23" s="6"/>
      <c r="BSF23" s="6"/>
      <c r="BSG23" s="8"/>
      <c r="BSH23" s="8"/>
      <c r="BSI23" s="8"/>
      <c r="BSJ23" s="28"/>
      <c r="BSK23" s="7"/>
      <c r="BSL23" s="8"/>
      <c r="BSM23" s="7"/>
      <c r="BSN23" s="7"/>
      <c r="BSO23" s="6"/>
      <c r="BSP23" s="7"/>
      <c r="BSQ23" s="8"/>
      <c r="BSR23" s="6"/>
      <c r="BSS23" s="8"/>
      <c r="BST23" s="6"/>
      <c r="BSU23" s="8"/>
      <c r="BSV23" s="8"/>
      <c r="BSW23" s="6"/>
      <c r="BSX23" s="6"/>
      <c r="BSY23" s="8"/>
      <c r="BSZ23" s="8"/>
      <c r="BTA23" s="8"/>
      <c r="BTB23" s="28"/>
      <c r="BTC23" s="7"/>
      <c r="BTD23" s="8"/>
      <c r="BTE23" s="7"/>
      <c r="BTF23" s="7"/>
      <c r="BTG23" s="6"/>
      <c r="BTH23" s="7"/>
      <c r="BTI23" s="8"/>
      <c r="BTJ23" s="6"/>
      <c r="BTK23" s="8"/>
      <c r="BTL23" s="6"/>
      <c r="BTM23" s="8"/>
      <c r="BTN23" s="8"/>
      <c r="BTO23" s="6"/>
      <c r="BTP23" s="6"/>
      <c r="BTQ23" s="8"/>
      <c r="BTR23" s="8"/>
      <c r="BTS23" s="8"/>
      <c r="BTT23" s="28"/>
      <c r="BTU23" s="7"/>
      <c r="BTV23" s="8"/>
      <c r="BTW23" s="7"/>
      <c r="BTX23" s="7"/>
      <c r="BTY23" s="6"/>
      <c r="BTZ23" s="7"/>
      <c r="BUA23" s="8"/>
      <c r="BUB23" s="6"/>
      <c r="BUC23" s="8"/>
      <c r="BUD23" s="6"/>
      <c r="BUE23" s="8"/>
      <c r="BUF23" s="8"/>
      <c r="BUG23" s="6"/>
      <c r="BUH23" s="6"/>
      <c r="BUI23" s="8"/>
      <c r="BUJ23" s="8"/>
      <c r="BUK23" s="8"/>
      <c r="BUL23" s="28"/>
      <c r="BUM23" s="7"/>
      <c r="BUN23" s="8"/>
      <c r="BUO23" s="7"/>
      <c r="BUP23" s="7"/>
      <c r="BUQ23" s="6"/>
      <c r="BUR23" s="7"/>
      <c r="BUS23" s="8"/>
      <c r="BUT23" s="6"/>
      <c r="BUU23" s="8"/>
      <c r="BUV23" s="6"/>
      <c r="BUW23" s="8"/>
      <c r="BUX23" s="8"/>
      <c r="BUY23" s="6"/>
      <c r="BUZ23" s="6"/>
      <c r="BVA23" s="8"/>
      <c r="BVB23" s="8"/>
      <c r="BVC23" s="8"/>
      <c r="BVD23" s="28"/>
      <c r="BVE23" s="7"/>
      <c r="BVF23" s="8"/>
      <c r="BVG23" s="7"/>
      <c r="BVH23" s="7"/>
      <c r="BVI23" s="6"/>
      <c r="BVJ23" s="7"/>
      <c r="BVK23" s="8"/>
      <c r="BVL23" s="6"/>
      <c r="BVM23" s="8"/>
      <c r="BVN23" s="6"/>
      <c r="BVO23" s="8"/>
      <c r="BVP23" s="8"/>
      <c r="BVQ23" s="6"/>
      <c r="BVR23" s="6"/>
      <c r="BVS23" s="8"/>
      <c r="BVT23" s="8"/>
      <c r="BVU23" s="8"/>
      <c r="BVV23" s="28"/>
      <c r="BVW23" s="7"/>
      <c r="BVX23" s="8"/>
      <c r="BVY23" s="7"/>
      <c r="BVZ23" s="7"/>
      <c r="BWA23" s="6"/>
      <c r="BWB23" s="7"/>
      <c r="BWC23" s="8"/>
      <c r="BWD23" s="6"/>
      <c r="BWE23" s="8"/>
      <c r="BWF23" s="6"/>
      <c r="BWG23" s="8"/>
      <c r="BWH23" s="8"/>
      <c r="BWI23" s="6"/>
      <c r="BWJ23" s="6"/>
      <c r="BWK23" s="8"/>
      <c r="BWL23" s="8"/>
      <c r="BWM23" s="8"/>
      <c r="BWN23" s="28"/>
      <c r="BWO23" s="7"/>
      <c r="BWP23" s="8"/>
      <c r="BWQ23" s="7"/>
      <c r="BWR23" s="7"/>
      <c r="BWS23" s="6"/>
      <c r="BWT23" s="7"/>
      <c r="BWU23" s="8"/>
      <c r="BWV23" s="6"/>
      <c r="BWW23" s="8"/>
      <c r="BWX23" s="6"/>
      <c r="BWY23" s="8"/>
      <c r="BWZ23" s="8"/>
      <c r="BXA23" s="6"/>
      <c r="BXB23" s="6"/>
      <c r="BXC23" s="8"/>
      <c r="BXD23" s="8"/>
      <c r="BXE23" s="8"/>
      <c r="BXF23" s="28"/>
      <c r="BXG23" s="7"/>
      <c r="BXH23" s="8"/>
      <c r="BXI23" s="7"/>
      <c r="BXJ23" s="7"/>
      <c r="BXK23" s="6"/>
      <c r="BXL23" s="7"/>
      <c r="BXM23" s="8"/>
      <c r="BXN23" s="6"/>
      <c r="BXO23" s="8"/>
      <c r="BXP23" s="6"/>
      <c r="BXQ23" s="8"/>
      <c r="BXR23" s="8"/>
      <c r="BXS23" s="6"/>
      <c r="BXT23" s="6"/>
      <c r="BXU23" s="8"/>
      <c r="BXV23" s="8"/>
      <c r="BXW23" s="8"/>
      <c r="BXX23" s="28"/>
      <c r="BXY23" s="7"/>
      <c r="BXZ23" s="8"/>
      <c r="BYA23" s="7"/>
      <c r="BYB23" s="7"/>
      <c r="BYC23" s="6"/>
      <c r="BYD23" s="7"/>
      <c r="BYE23" s="8"/>
      <c r="BYF23" s="6"/>
      <c r="BYG23" s="8"/>
      <c r="BYH23" s="6"/>
      <c r="BYI23" s="8"/>
      <c r="BYJ23" s="8"/>
      <c r="BYK23" s="6"/>
      <c r="BYL23" s="6"/>
      <c r="BYM23" s="8"/>
      <c r="BYN23" s="8"/>
      <c r="BYO23" s="8"/>
      <c r="BYP23" s="28"/>
      <c r="BYQ23" s="7"/>
      <c r="BYR23" s="8"/>
      <c r="BYS23" s="7"/>
      <c r="BYT23" s="7"/>
      <c r="BYU23" s="6"/>
      <c r="BYV23" s="7"/>
      <c r="BYW23" s="8"/>
      <c r="BYX23" s="6"/>
      <c r="BYY23" s="8"/>
      <c r="BYZ23" s="6"/>
      <c r="BZA23" s="8"/>
      <c r="BZB23" s="8"/>
      <c r="BZC23" s="6"/>
      <c r="BZD23" s="6"/>
      <c r="BZE23" s="8"/>
      <c r="BZF23" s="8"/>
      <c r="BZG23" s="8"/>
      <c r="BZH23" s="28"/>
      <c r="BZI23" s="7"/>
      <c r="BZJ23" s="8"/>
      <c r="BZK23" s="7"/>
      <c r="BZL23" s="7"/>
      <c r="BZM23" s="6"/>
      <c r="BZN23" s="7"/>
      <c r="BZO23" s="8"/>
      <c r="BZP23" s="6"/>
      <c r="BZQ23" s="8"/>
      <c r="BZR23" s="6"/>
      <c r="BZS23" s="8"/>
      <c r="BZT23" s="8"/>
      <c r="BZU23" s="6"/>
      <c r="BZV23" s="6"/>
      <c r="BZW23" s="8"/>
      <c r="BZX23" s="8"/>
      <c r="BZY23" s="8"/>
      <c r="BZZ23" s="28"/>
      <c r="CAA23" s="7"/>
      <c r="CAB23" s="8"/>
      <c r="CAC23" s="7"/>
      <c r="CAD23" s="7"/>
      <c r="CAE23" s="6"/>
      <c r="CAF23" s="7"/>
      <c r="CAG23" s="8"/>
      <c r="CAH23" s="6"/>
      <c r="CAI23" s="8"/>
      <c r="CAJ23" s="6"/>
      <c r="CAK23" s="8"/>
      <c r="CAL23" s="8"/>
      <c r="CAM23" s="6"/>
      <c r="CAN23" s="6"/>
      <c r="CAO23" s="8"/>
      <c r="CAP23" s="8"/>
      <c r="CAQ23" s="8"/>
      <c r="CAR23" s="28"/>
      <c r="CAS23" s="7"/>
      <c r="CAT23" s="8"/>
      <c r="CAU23" s="7"/>
      <c r="CAV23" s="7"/>
      <c r="CAW23" s="6"/>
      <c r="CAX23" s="7"/>
      <c r="CAY23" s="8"/>
      <c r="CAZ23" s="6"/>
      <c r="CBA23" s="8"/>
      <c r="CBB23" s="6"/>
      <c r="CBC23" s="8"/>
      <c r="CBD23" s="8"/>
      <c r="CBE23" s="6"/>
      <c r="CBF23" s="6"/>
      <c r="CBG23" s="8"/>
      <c r="CBH23" s="8"/>
      <c r="CBI23" s="8"/>
      <c r="CBJ23" s="28"/>
      <c r="CBK23" s="7"/>
      <c r="CBL23" s="8"/>
      <c r="CBM23" s="7"/>
      <c r="CBN23" s="7"/>
      <c r="CBO23" s="6"/>
      <c r="CBP23" s="7"/>
      <c r="CBQ23" s="8"/>
      <c r="CBR23" s="6"/>
      <c r="CBS23" s="8"/>
      <c r="CBT23" s="6"/>
      <c r="CBU23" s="8"/>
      <c r="CBV23" s="8"/>
      <c r="CBW23" s="6"/>
      <c r="CBX23" s="6"/>
      <c r="CBY23" s="8"/>
      <c r="CBZ23" s="8"/>
      <c r="CCA23" s="8"/>
      <c r="CCB23" s="28"/>
      <c r="CCC23" s="7"/>
      <c r="CCD23" s="8"/>
      <c r="CCE23" s="7"/>
      <c r="CCF23" s="7"/>
      <c r="CCG23" s="6"/>
      <c r="CCH23" s="7"/>
      <c r="CCI23" s="8"/>
      <c r="CCJ23" s="6"/>
      <c r="CCK23" s="8"/>
      <c r="CCL23" s="6"/>
      <c r="CCM23" s="8"/>
      <c r="CCN23" s="8"/>
      <c r="CCO23" s="6"/>
      <c r="CCP23" s="6"/>
      <c r="CCQ23" s="8"/>
      <c r="CCR23" s="8"/>
      <c r="CCS23" s="8"/>
      <c r="CCT23" s="28"/>
      <c r="CCU23" s="7"/>
      <c r="CCV23" s="8"/>
      <c r="CCW23" s="7"/>
      <c r="CCX23" s="7"/>
      <c r="CCY23" s="6"/>
      <c r="CCZ23" s="7"/>
      <c r="CDA23" s="8"/>
      <c r="CDB23" s="6"/>
      <c r="CDC23" s="8"/>
      <c r="CDD23" s="6"/>
      <c r="CDE23" s="8"/>
      <c r="CDF23" s="8"/>
      <c r="CDG23" s="6"/>
      <c r="CDH23" s="6"/>
      <c r="CDI23" s="8"/>
      <c r="CDJ23" s="8"/>
      <c r="CDK23" s="8"/>
      <c r="CDL23" s="28"/>
      <c r="CDM23" s="7"/>
      <c r="CDN23" s="8"/>
      <c r="CDO23" s="7"/>
      <c r="CDP23" s="7"/>
      <c r="CDQ23" s="6"/>
      <c r="CDR23" s="7"/>
      <c r="CDS23" s="8"/>
      <c r="CDT23" s="6"/>
      <c r="CDU23" s="8"/>
      <c r="CDV23" s="6"/>
      <c r="CDW23" s="8"/>
      <c r="CDX23" s="8"/>
      <c r="CDY23" s="6"/>
      <c r="CDZ23" s="6"/>
      <c r="CEA23" s="8"/>
      <c r="CEB23" s="8"/>
      <c r="CEC23" s="8"/>
      <c r="CED23" s="28"/>
      <c r="CEE23" s="7"/>
      <c r="CEF23" s="8"/>
      <c r="CEG23" s="7"/>
      <c r="CEH23" s="7"/>
      <c r="CEI23" s="6"/>
      <c r="CEJ23" s="7"/>
      <c r="CEK23" s="8"/>
      <c r="CEL23" s="6"/>
      <c r="CEM23" s="8"/>
      <c r="CEN23" s="6"/>
      <c r="CEO23" s="8"/>
      <c r="CEP23" s="8"/>
      <c r="CEQ23" s="6"/>
      <c r="CER23" s="6"/>
      <c r="CES23" s="8"/>
      <c r="CET23" s="8"/>
      <c r="CEU23" s="8"/>
      <c r="CEV23" s="28"/>
      <c r="CEW23" s="7"/>
      <c r="CEX23" s="8"/>
      <c r="CEY23" s="7"/>
      <c r="CEZ23" s="7"/>
      <c r="CFA23" s="6"/>
      <c r="CFB23" s="7"/>
      <c r="CFC23" s="8"/>
      <c r="CFD23" s="6"/>
      <c r="CFE23" s="8"/>
      <c r="CFF23" s="6"/>
      <c r="CFG23" s="8"/>
      <c r="CFH23" s="8"/>
      <c r="CFI23" s="6"/>
      <c r="CFJ23" s="6"/>
      <c r="CFK23" s="8"/>
      <c r="CFL23" s="8"/>
      <c r="CFM23" s="8"/>
      <c r="CFN23" s="28"/>
      <c r="CFO23" s="7"/>
      <c r="CFP23" s="8"/>
      <c r="CFQ23" s="7"/>
      <c r="CFR23" s="7"/>
      <c r="CFS23" s="6"/>
      <c r="CFT23" s="7"/>
      <c r="CFU23" s="8"/>
      <c r="CFV23" s="6"/>
      <c r="CFW23" s="8"/>
      <c r="CFX23" s="6"/>
      <c r="CFY23" s="8"/>
      <c r="CFZ23" s="8"/>
      <c r="CGA23" s="6"/>
      <c r="CGB23" s="6"/>
      <c r="CGC23" s="8"/>
      <c r="CGD23" s="8"/>
      <c r="CGE23" s="8"/>
      <c r="CGF23" s="28"/>
      <c r="CGG23" s="7"/>
      <c r="CGH23" s="8"/>
      <c r="CGI23" s="7"/>
      <c r="CGJ23" s="7"/>
      <c r="CGK23" s="6"/>
      <c r="CGL23" s="7"/>
      <c r="CGM23" s="8"/>
      <c r="CGN23" s="6"/>
      <c r="CGO23" s="8"/>
      <c r="CGP23" s="6"/>
      <c r="CGQ23" s="8"/>
      <c r="CGR23" s="8"/>
      <c r="CGS23" s="6"/>
      <c r="CGT23" s="6"/>
      <c r="CGU23" s="8"/>
      <c r="CGV23" s="8"/>
      <c r="CGW23" s="8"/>
      <c r="CGX23" s="28"/>
      <c r="CGY23" s="7"/>
      <c r="CGZ23" s="8"/>
      <c r="CHA23" s="7"/>
      <c r="CHB23" s="7"/>
      <c r="CHC23" s="6"/>
      <c r="CHD23" s="7"/>
      <c r="CHE23" s="8"/>
      <c r="CHF23" s="6"/>
      <c r="CHG23" s="8"/>
      <c r="CHH23" s="6"/>
      <c r="CHI23" s="8"/>
      <c r="CHJ23" s="8"/>
      <c r="CHK23" s="6"/>
      <c r="CHL23" s="6"/>
      <c r="CHM23" s="8"/>
      <c r="CHN23" s="8"/>
      <c r="CHO23" s="8"/>
      <c r="CHP23" s="28"/>
      <c r="CHQ23" s="7"/>
      <c r="CHR23" s="8"/>
      <c r="CHS23" s="7"/>
      <c r="CHT23" s="7"/>
      <c r="CHU23" s="6"/>
      <c r="CHV23" s="7"/>
      <c r="CHW23" s="8"/>
      <c r="CHX23" s="6"/>
      <c r="CHY23" s="8"/>
      <c r="CHZ23" s="6"/>
      <c r="CIA23" s="8"/>
      <c r="CIB23" s="8"/>
      <c r="CIC23" s="6"/>
      <c r="CID23" s="6"/>
      <c r="CIE23" s="8"/>
      <c r="CIF23" s="8"/>
      <c r="CIG23" s="8"/>
      <c r="CIH23" s="28"/>
      <c r="CII23" s="7"/>
      <c r="CIJ23" s="8"/>
      <c r="CIK23" s="7"/>
      <c r="CIL23" s="7"/>
      <c r="CIM23" s="6"/>
      <c r="CIN23" s="7"/>
      <c r="CIO23" s="8"/>
      <c r="CIP23" s="6"/>
      <c r="CIQ23" s="8"/>
      <c r="CIR23" s="6"/>
      <c r="CIS23" s="8"/>
      <c r="CIT23" s="8"/>
      <c r="CIU23" s="6"/>
      <c r="CIV23" s="6"/>
      <c r="CIW23" s="8"/>
      <c r="CIX23" s="8"/>
      <c r="CIY23" s="8"/>
      <c r="CIZ23" s="28"/>
      <c r="CJA23" s="7"/>
      <c r="CJB23" s="8"/>
      <c r="CJC23" s="7"/>
      <c r="CJD23" s="7"/>
      <c r="CJE23" s="6"/>
      <c r="CJF23" s="7"/>
      <c r="CJG23" s="8"/>
      <c r="CJH23" s="6"/>
      <c r="CJI23" s="8"/>
      <c r="CJJ23" s="6"/>
      <c r="CJK23" s="8"/>
      <c r="CJL23" s="8"/>
      <c r="CJM23" s="6"/>
      <c r="CJN23" s="6"/>
      <c r="CJO23" s="8"/>
      <c r="CJP23" s="8"/>
      <c r="CJQ23" s="8"/>
      <c r="CJR23" s="28"/>
      <c r="CJS23" s="7"/>
      <c r="CJT23" s="8"/>
      <c r="CJU23" s="7"/>
      <c r="CJV23" s="7"/>
      <c r="CJW23" s="6"/>
      <c r="CJX23" s="7"/>
      <c r="CJY23" s="8"/>
      <c r="CJZ23" s="6"/>
      <c r="CKA23" s="8"/>
      <c r="CKB23" s="6"/>
      <c r="CKC23" s="8"/>
      <c r="CKD23" s="8"/>
      <c r="CKE23" s="6"/>
      <c r="CKF23" s="6"/>
      <c r="CKG23" s="8"/>
      <c r="CKH23" s="8"/>
      <c r="CKI23" s="8"/>
      <c r="CKJ23" s="28"/>
      <c r="CKK23" s="7"/>
      <c r="CKL23" s="8"/>
      <c r="CKM23" s="7"/>
      <c r="CKN23" s="7"/>
      <c r="CKO23" s="6"/>
      <c r="CKP23" s="7"/>
      <c r="CKQ23" s="8"/>
      <c r="CKR23" s="6"/>
      <c r="CKS23" s="8"/>
      <c r="CKT23" s="6"/>
      <c r="CKU23" s="8"/>
      <c r="CKV23" s="8"/>
      <c r="CKW23" s="6"/>
      <c r="CKX23" s="6"/>
      <c r="CKY23" s="8"/>
      <c r="CKZ23" s="8"/>
      <c r="CLA23" s="8"/>
      <c r="CLB23" s="28"/>
      <c r="CLC23" s="7"/>
      <c r="CLD23" s="8"/>
      <c r="CLE23" s="7"/>
      <c r="CLF23" s="7"/>
      <c r="CLG23" s="6"/>
      <c r="CLH23" s="7"/>
      <c r="CLI23" s="8"/>
      <c r="CLJ23" s="6"/>
      <c r="CLK23" s="8"/>
      <c r="CLL23" s="6"/>
      <c r="CLM23" s="8"/>
      <c r="CLN23" s="8"/>
      <c r="CLO23" s="6"/>
      <c r="CLP23" s="6"/>
      <c r="CLQ23" s="8"/>
      <c r="CLR23" s="8"/>
      <c r="CLS23" s="8"/>
      <c r="CLT23" s="28"/>
      <c r="CLU23" s="7"/>
      <c r="CLV23" s="8"/>
      <c r="CLW23" s="7"/>
      <c r="CLX23" s="7"/>
      <c r="CLY23" s="6"/>
      <c r="CLZ23" s="7"/>
      <c r="CMA23" s="8"/>
      <c r="CMB23" s="6"/>
      <c r="CMC23" s="8"/>
      <c r="CMD23" s="6"/>
      <c r="CME23" s="8"/>
      <c r="CMF23" s="8"/>
      <c r="CMG23" s="6"/>
      <c r="CMH23" s="6"/>
      <c r="CMI23" s="8"/>
      <c r="CMJ23" s="8"/>
      <c r="CMK23" s="8"/>
      <c r="CML23" s="28"/>
      <c r="CMM23" s="7"/>
      <c r="CMN23" s="8"/>
      <c r="CMO23" s="7"/>
      <c r="CMP23" s="7"/>
      <c r="CMQ23" s="6"/>
      <c r="CMR23" s="7"/>
      <c r="CMS23" s="8"/>
      <c r="CMT23" s="6"/>
      <c r="CMU23" s="8"/>
      <c r="CMV23" s="6"/>
      <c r="CMW23" s="8"/>
      <c r="CMX23" s="8"/>
      <c r="CMY23" s="6"/>
      <c r="CMZ23" s="6"/>
      <c r="CNA23" s="8"/>
      <c r="CNB23" s="8"/>
      <c r="CNC23" s="8"/>
      <c r="CND23" s="28"/>
      <c r="CNE23" s="7"/>
      <c r="CNF23" s="8"/>
      <c r="CNG23" s="7"/>
      <c r="CNH23" s="7"/>
      <c r="CNI23" s="6"/>
      <c r="CNJ23" s="7"/>
      <c r="CNK23" s="8"/>
      <c r="CNL23" s="6"/>
      <c r="CNM23" s="8"/>
      <c r="CNN23" s="6"/>
      <c r="CNO23" s="8"/>
      <c r="CNP23" s="8"/>
      <c r="CNQ23" s="6"/>
      <c r="CNR23" s="6"/>
      <c r="CNS23" s="8"/>
      <c r="CNT23" s="8"/>
      <c r="CNU23" s="8"/>
      <c r="CNV23" s="28"/>
      <c r="CNW23" s="7"/>
      <c r="CNX23" s="8"/>
      <c r="CNY23" s="7"/>
      <c r="CNZ23" s="7"/>
      <c r="COA23" s="6"/>
      <c r="COB23" s="7"/>
      <c r="COC23" s="8"/>
      <c r="COD23" s="6"/>
      <c r="COE23" s="8"/>
      <c r="COF23" s="6"/>
      <c r="COG23" s="8"/>
      <c r="COH23" s="8"/>
      <c r="COI23" s="6"/>
      <c r="COJ23" s="6"/>
      <c r="COK23" s="8"/>
      <c r="COL23" s="8"/>
      <c r="COM23" s="8"/>
      <c r="CON23" s="28"/>
      <c r="COO23" s="7"/>
      <c r="COP23" s="8"/>
      <c r="COQ23" s="7"/>
      <c r="COR23" s="7"/>
      <c r="COS23" s="6"/>
      <c r="COT23" s="7"/>
      <c r="COU23" s="8"/>
      <c r="COV23" s="6"/>
      <c r="COW23" s="8"/>
      <c r="COX23" s="6"/>
      <c r="COY23" s="8"/>
      <c r="COZ23" s="8"/>
      <c r="CPA23" s="6"/>
      <c r="CPB23" s="6"/>
      <c r="CPC23" s="8"/>
      <c r="CPD23" s="8"/>
      <c r="CPE23" s="8"/>
      <c r="CPF23" s="28"/>
      <c r="CPG23" s="7"/>
      <c r="CPH23" s="8"/>
      <c r="CPI23" s="7"/>
      <c r="CPJ23" s="7"/>
      <c r="CPK23" s="6"/>
      <c r="CPL23" s="7"/>
      <c r="CPM23" s="8"/>
      <c r="CPN23" s="6"/>
      <c r="CPO23" s="8"/>
      <c r="CPP23" s="6"/>
      <c r="CPQ23" s="8"/>
      <c r="CPR23" s="8"/>
      <c r="CPS23" s="6"/>
      <c r="CPT23" s="6"/>
      <c r="CPU23" s="8"/>
      <c r="CPV23" s="8"/>
      <c r="CPW23" s="8"/>
      <c r="CPX23" s="28"/>
      <c r="CPY23" s="7"/>
      <c r="CPZ23" s="8"/>
      <c r="CQA23" s="7"/>
      <c r="CQB23" s="7"/>
      <c r="CQC23" s="6"/>
      <c r="CQD23" s="7"/>
      <c r="CQE23" s="8"/>
      <c r="CQF23" s="6"/>
      <c r="CQG23" s="8"/>
      <c r="CQH23" s="6"/>
      <c r="CQI23" s="8"/>
      <c r="CQJ23" s="8"/>
      <c r="CQK23" s="6"/>
      <c r="CQL23" s="6"/>
      <c r="CQM23" s="8"/>
      <c r="CQN23" s="8"/>
      <c r="CQO23" s="8"/>
      <c r="CQP23" s="28"/>
      <c r="CQQ23" s="7"/>
      <c r="CQR23" s="8"/>
      <c r="CQS23" s="7"/>
      <c r="CQT23" s="7"/>
      <c r="CQU23" s="6"/>
      <c r="CQV23" s="7"/>
      <c r="CQW23" s="8"/>
      <c r="CQX23" s="6"/>
      <c r="CQY23" s="8"/>
      <c r="CQZ23" s="6"/>
      <c r="CRA23" s="8"/>
      <c r="CRB23" s="8"/>
      <c r="CRC23" s="6"/>
      <c r="CRD23" s="6"/>
      <c r="CRE23" s="8"/>
      <c r="CRF23" s="8"/>
      <c r="CRG23" s="8"/>
      <c r="CRH23" s="28"/>
      <c r="CRI23" s="7"/>
      <c r="CRJ23" s="8"/>
      <c r="CRK23" s="7"/>
      <c r="CRL23" s="7"/>
      <c r="CRM23" s="6"/>
      <c r="CRN23" s="7"/>
      <c r="CRO23" s="8"/>
      <c r="CRP23" s="6"/>
      <c r="CRQ23" s="8"/>
      <c r="CRR23" s="6"/>
      <c r="CRS23" s="8"/>
      <c r="CRT23" s="8"/>
      <c r="CRU23" s="6"/>
      <c r="CRV23" s="6"/>
      <c r="CRW23" s="8"/>
      <c r="CRX23" s="8"/>
      <c r="CRY23" s="8"/>
      <c r="CRZ23" s="28"/>
      <c r="CSA23" s="7"/>
      <c r="CSB23" s="8"/>
      <c r="CSC23" s="7"/>
      <c r="CSD23" s="7"/>
      <c r="CSE23" s="6"/>
      <c r="CSF23" s="7"/>
      <c r="CSG23" s="8"/>
      <c r="CSH23" s="6"/>
      <c r="CSI23" s="8"/>
      <c r="CSJ23" s="6"/>
      <c r="CSK23" s="8"/>
      <c r="CSL23" s="8"/>
      <c r="CSM23" s="6"/>
      <c r="CSN23" s="6"/>
      <c r="CSO23" s="8"/>
      <c r="CSP23" s="8"/>
      <c r="CSQ23" s="8"/>
      <c r="CSR23" s="28"/>
      <c r="CSS23" s="7"/>
      <c r="CST23" s="8"/>
      <c r="CSU23" s="7"/>
      <c r="CSV23" s="7"/>
      <c r="CSW23" s="6"/>
      <c r="CSX23" s="7"/>
      <c r="CSY23" s="8"/>
      <c r="CSZ23" s="6"/>
      <c r="CTA23" s="8"/>
      <c r="CTB23" s="6"/>
      <c r="CTC23" s="8"/>
      <c r="CTD23" s="8"/>
      <c r="CTE23" s="6"/>
      <c r="CTF23" s="6"/>
      <c r="CTG23" s="8"/>
      <c r="CTH23" s="8"/>
      <c r="CTI23" s="8"/>
      <c r="CTJ23" s="28"/>
      <c r="CTK23" s="7"/>
      <c r="CTL23" s="8"/>
      <c r="CTM23" s="7"/>
      <c r="CTN23" s="7"/>
      <c r="CTO23" s="6"/>
      <c r="CTP23" s="7"/>
      <c r="CTQ23" s="8"/>
      <c r="CTR23" s="6"/>
      <c r="CTS23" s="8"/>
      <c r="CTT23" s="6"/>
      <c r="CTU23" s="8"/>
      <c r="CTV23" s="8"/>
      <c r="CTW23" s="6"/>
      <c r="CTX23" s="6"/>
      <c r="CTY23" s="8"/>
      <c r="CTZ23" s="8"/>
      <c r="CUA23" s="8"/>
      <c r="CUB23" s="28"/>
      <c r="CUC23" s="7"/>
      <c r="CUD23" s="8"/>
      <c r="CUE23" s="7"/>
      <c r="CUF23" s="7"/>
      <c r="CUG23" s="6"/>
      <c r="CUH23" s="7"/>
      <c r="CUI23" s="8"/>
      <c r="CUJ23" s="6"/>
      <c r="CUK23" s="8"/>
      <c r="CUL23" s="6"/>
      <c r="CUM23" s="8"/>
      <c r="CUN23" s="8"/>
      <c r="CUO23" s="6"/>
      <c r="CUP23" s="6"/>
      <c r="CUQ23" s="8"/>
      <c r="CUR23" s="8"/>
      <c r="CUS23" s="8"/>
      <c r="CUT23" s="28"/>
      <c r="CUU23" s="7"/>
      <c r="CUV23" s="8"/>
      <c r="CUW23" s="7"/>
      <c r="CUX23" s="7"/>
      <c r="CUY23" s="6"/>
      <c r="CUZ23" s="7"/>
      <c r="CVA23" s="8"/>
      <c r="CVB23" s="6"/>
      <c r="CVC23" s="8"/>
      <c r="CVD23" s="6"/>
      <c r="CVE23" s="8"/>
      <c r="CVF23" s="8"/>
      <c r="CVG23" s="6"/>
      <c r="CVH23" s="6"/>
      <c r="CVI23" s="8"/>
      <c r="CVJ23" s="8"/>
      <c r="CVK23" s="8"/>
      <c r="CVL23" s="28"/>
      <c r="CVM23" s="7"/>
      <c r="CVN23" s="8"/>
      <c r="CVO23" s="7"/>
      <c r="CVP23" s="7"/>
      <c r="CVQ23" s="6"/>
      <c r="CVR23" s="7"/>
      <c r="CVS23" s="8"/>
      <c r="CVT23" s="6"/>
      <c r="CVU23" s="8"/>
      <c r="CVV23" s="6"/>
      <c r="CVW23" s="8"/>
      <c r="CVX23" s="8"/>
      <c r="CVY23" s="6"/>
      <c r="CVZ23" s="6"/>
      <c r="CWA23" s="8"/>
      <c r="CWB23" s="8"/>
      <c r="CWC23" s="8"/>
      <c r="CWD23" s="28"/>
      <c r="CWE23" s="7"/>
      <c r="CWF23" s="8"/>
      <c r="CWG23" s="7"/>
      <c r="CWH23" s="7"/>
      <c r="CWI23" s="6"/>
      <c r="CWJ23" s="7"/>
      <c r="CWK23" s="8"/>
      <c r="CWL23" s="6"/>
      <c r="CWM23" s="8"/>
      <c r="CWN23" s="6"/>
      <c r="CWO23" s="8"/>
      <c r="CWP23" s="8"/>
      <c r="CWQ23" s="6"/>
      <c r="CWR23" s="6"/>
      <c r="CWS23" s="8"/>
      <c r="CWT23" s="8"/>
      <c r="CWU23" s="8"/>
      <c r="CWV23" s="28"/>
      <c r="CWW23" s="7"/>
      <c r="CWX23" s="8"/>
      <c r="CWY23" s="7"/>
      <c r="CWZ23" s="7"/>
      <c r="CXA23" s="6"/>
      <c r="CXB23" s="7"/>
      <c r="CXC23" s="8"/>
      <c r="CXD23" s="6"/>
      <c r="CXE23" s="8"/>
      <c r="CXF23" s="6"/>
      <c r="CXG23" s="8"/>
      <c r="CXH23" s="8"/>
      <c r="CXI23" s="6"/>
      <c r="CXJ23" s="6"/>
      <c r="CXK23" s="8"/>
      <c r="CXL23" s="8"/>
      <c r="CXM23" s="8"/>
      <c r="CXN23" s="28"/>
      <c r="CXO23" s="7"/>
      <c r="CXP23" s="8"/>
      <c r="CXQ23" s="7"/>
      <c r="CXR23" s="7"/>
      <c r="CXS23" s="6"/>
      <c r="CXT23" s="7"/>
      <c r="CXU23" s="8"/>
      <c r="CXV23" s="6"/>
      <c r="CXW23" s="8"/>
      <c r="CXX23" s="6"/>
      <c r="CXY23" s="8"/>
      <c r="CXZ23" s="8"/>
      <c r="CYA23" s="6"/>
      <c r="CYB23" s="6"/>
      <c r="CYC23" s="8"/>
      <c r="CYD23" s="8"/>
      <c r="CYE23" s="8"/>
      <c r="CYF23" s="28"/>
      <c r="CYG23" s="7"/>
      <c r="CYH23" s="8"/>
      <c r="CYI23" s="7"/>
      <c r="CYJ23" s="7"/>
      <c r="CYK23" s="6"/>
      <c r="CYL23" s="7"/>
      <c r="CYM23" s="8"/>
      <c r="CYN23" s="6"/>
      <c r="CYO23" s="8"/>
      <c r="CYP23" s="6"/>
      <c r="CYQ23" s="8"/>
      <c r="CYR23" s="8"/>
      <c r="CYS23" s="6"/>
      <c r="CYT23" s="6"/>
      <c r="CYU23" s="8"/>
      <c r="CYV23" s="8"/>
      <c r="CYW23" s="8"/>
      <c r="CYX23" s="28"/>
      <c r="CYY23" s="7"/>
      <c r="CYZ23" s="8"/>
      <c r="CZA23" s="7"/>
      <c r="CZB23" s="7"/>
      <c r="CZC23" s="6"/>
      <c r="CZD23" s="7"/>
      <c r="CZE23" s="8"/>
      <c r="CZF23" s="6"/>
      <c r="CZG23" s="8"/>
      <c r="CZH23" s="6"/>
      <c r="CZI23" s="8"/>
      <c r="CZJ23" s="8"/>
      <c r="CZK23" s="6"/>
      <c r="CZL23" s="6"/>
      <c r="CZM23" s="8"/>
      <c r="CZN23" s="8"/>
      <c r="CZO23" s="8"/>
      <c r="CZP23" s="28"/>
      <c r="CZQ23" s="7"/>
      <c r="CZR23" s="8"/>
      <c r="CZS23" s="7"/>
      <c r="CZT23" s="7"/>
      <c r="CZU23" s="6"/>
      <c r="CZV23" s="7"/>
      <c r="CZW23" s="8"/>
      <c r="CZX23" s="6"/>
      <c r="CZY23" s="8"/>
      <c r="CZZ23" s="6"/>
      <c r="DAA23" s="8"/>
      <c r="DAB23" s="8"/>
      <c r="DAC23" s="6"/>
      <c r="DAD23" s="6"/>
      <c r="DAE23" s="8"/>
      <c r="DAF23" s="8"/>
      <c r="DAG23" s="8"/>
      <c r="DAH23" s="28"/>
      <c r="DAI23" s="7"/>
      <c r="DAJ23" s="8"/>
      <c r="DAK23" s="7"/>
      <c r="DAL23" s="7"/>
      <c r="DAM23" s="6"/>
      <c r="DAN23" s="7"/>
      <c r="DAO23" s="8"/>
      <c r="DAP23" s="6"/>
      <c r="DAQ23" s="8"/>
      <c r="DAR23" s="6"/>
      <c r="DAS23" s="8"/>
      <c r="DAT23" s="8"/>
      <c r="DAU23" s="6"/>
      <c r="DAV23" s="6"/>
      <c r="DAW23" s="8"/>
      <c r="DAX23" s="8"/>
      <c r="DAY23" s="8"/>
      <c r="DAZ23" s="28"/>
      <c r="DBA23" s="7"/>
      <c r="DBB23" s="8"/>
      <c r="DBC23" s="7"/>
      <c r="DBD23" s="7"/>
      <c r="DBE23" s="6"/>
      <c r="DBF23" s="7"/>
      <c r="DBG23" s="8"/>
      <c r="DBH23" s="6"/>
      <c r="DBI23" s="8"/>
      <c r="DBJ23" s="6"/>
      <c r="DBK23" s="8"/>
      <c r="DBL23" s="8"/>
      <c r="DBM23" s="6"/>
      <c r="DBN23" s="6"/>
      <c r="DBO23" s="8"/>
      <c r="DBP23" s="8"/>
      <c r="DBQ23" s="8"/>
      <c r="DBR23" s="28"/>
      <c r="DBS23" s="7"/>
      <c r="DBT23" s="8"/>
      <c r="DBU23" s="7"/>
      <c r="DBV23" s="7"/>
      <c r="DBW23" s="6"/>
      <c r="DBX23" s="7"/>
      <c r="DBY23" s="8"/>
      <c r="DBZ23" s="6"/>
      <c r="DCA23" s="8"/>
      <c r="DCB23" s="6"/>
      <c r="DCC23" s="8"/>
      <c r="DCD23" s="8"/>
      <c r="DCE23" s="6"/>
      <c r="DCF23" s="6"/>
      <c r="DCG23" s="8"/>
      <c r="DCH23" s="8"/>
      <c r="DCI23" s="8"/>
      <c r="DCJ23" s="28"/>
      <c r="DCK23" s="7"/>
      <c r="DCL23" s="8"/>
      <c r="DCM23" s="7"/>
      <c r="DCN23" s="7"/>
      <c r="DCO23" s="6"/>
      <c r="DCP23" s="7"/>
      <c r="DCQ23" s="8"/>
      <c r="DCR23" s="6"/>
      <c r="DCS23" s="8"/>
      <c r="DCT23" s="6"/>
      <c r="DCU23" s="8"/>
      <c r="DCV23" s="8"/>
      <c r="DCW23" s="6"/>
      <c r="DCX23" s="6"/>
      <c r="DCY23" s="8"/>
      <c r="DCZ23" s="8"/>
      <c r="DDA23" s="8"/>
      <c r="DDB23" s="28"/>
      <c r="DDC23" s="7"/>
      <c r="DDD23" s="8"/>
      <c r="DDE23" s="7"/>
      <c r="DDF23" s="7"/>
      <c r="DDG23" s="6"/>
      <c r="DDH23" s="7"/>
      <c r="DDI23" s="8"/>
      <c r="DDJ23" s="6"/>
      <c r="DDK23" s="8"/>
      <c r="DDL23" s="6"/>
      <c r="DDM23" s="8"/>
      <c r="DDN23" s="8"/>
      <c r="DDO23" s="6"/>
      <c r="DDP23" s="6"/>
      <c r="DDQ23" s="8"/>
      <c r="DDR23" s="8"/>
      <c r="DDS23" s="8"/>
      <c r="DDT23" s="28"/>
      <c r="DDU23" s="7"/>
      <c r="DDV23" s="8"/>
      <c r="DDW23" s="7"/>
      <c r="DDX23" s="7"/>
      <c r="DDY23" s="6"/>
      <c r="DDZ23" s="7"/>
      <c r="DEA23" s="8"/>
      <c r="DEB23" s="6"/>
      <c r="DEC23" s="8"/>
      <c r="DED23" s="6"/>
      <c r="DEE23" s="8"/>
      <c r="DEF23" s="8"/>
      <c r="DEG23" s="6"/>
      <c r="DEH23" s="6"/>
      <c r="DEI23" s="8"/>
      <c r="DEJ23" s="8"/>
      <c r="DEK23" s="8"/>
      <c r="DEL23" s="28"/>
      <c r="DEM23" s="7"/>
      <c r="DEN23" s="8"/>
      <c r="DEO23" s="7"/>
      <c r="DEP23" s="7"/>
      <c r="DEQ23" s="6"/>
      <c r="DER23" s="7"/>
      <c r="DES23" s="8"/>
      <c r="DET23" s="6"/>
      <c r="DEU23" s="8"/>
      <c r="DEV23" s="6"/>
      <c r="DEW23" s="8"/>
      <c r="DEX23" s="8"/>
      <c r="DEY23" s="6"/>
      <c r="DEZ23" s="6"/>
      <c r="DFA23" s="8"/>
      <c r="DFB23" s="8"/>
      <c r="DFC23" s="8"/>
      <c r="DFD23" s="28"/>
      <c r="DFE23" s="7"/>
      <c r="DFF23" s="8"/>
      <c r="DFG23" s="7"/>
      <c r="DFH23" s="7"/>
      <c r="DFI23" s="6"/>
      <c r="DFJ23" s="7"/>
      <c r="DFK23" s="8"/>
      <c r="DFL23" s="6"/>
      <c r="DFM23" s="8"/>
      <c r="DFN23" s="6"/>
      <c r="DFO23" s="8"/>
      <c r="DFP23" s="8"/>
      <c r="DFQ23" s="6"/>
      <c r="DFR23" s="6"/>
      <c r="DFS23" s="8"/>
      <c r="DFT23" s="8"/>
      <c r="DFU23" s="8"/>
      <c r="DFV23" s="28"/>
      <c r="DFW23" s="7"/>
      <c r="DFX23" s="8"/>
      <c r="DFY23" s="7"/>
      <c r="DFZ23" s="7"/>
      <c r="DGA23" s="6"/>
      <c r="DGB23" s="7"/>
      <c r="DGC23" s="8"/>
      <c r="DGD23" s="6"/>
      <c r="DGE23" s="8"/>
      <c r="DGF23" s="6"/>
      <c r="DGG23" s="8"/>
      <c r="DGH23" s="8"/>
      <c r="DGI23" s="6"/>
      <c r="DGJ23" s="6"/>
      <c r="DGK23" s="8"/>
      <c r="DGL23" s="8"/>
      <c r="DGM23" s="8"/>
      <c r="DGN23" s="28"/>
      <c r="DGO23" s="7"/>
      <c r="DGP23" s="8"/>
      <c r="DGQ23" s="7"/>
      <c r="DGR23" s="7"/>
      <c r="DGS23" s="6"/>
      <c r="DGT23" s="7"/>
      <c r="DGU23" s="8"/>
      <c r="DGV23" s="6"/>
      <c r="DGW23" s="8"/>
      <c r="DGX23" s="6"/>
      <c r="DGY23" s="8"/>
      <c r="DGZ23" s="8"/>
      <c r="DHA23" s="6"/>
      <c r="DHB23" s="6"/>
      <c r="DHC23" s="8"/>
      <c r="DHD23" s="8"/>
      <c r="DHE23" s="8"/>
      <c r="DHF23" s="28"/>
      <c r="DHG23" s="7"/>
      <c r="DHH23" s="8"/>
      <c r="DHI23" s="7"/>
      <c r="DHJ23" s="7"/>
      <c r="DHK23" s="6"/>
      <c r="DHL23" s="7"/>
      <c r="DHM23" s="8"/>
      <c r="DHN23" s="6"/>
      <c r="DHO23" s="8"/>
      <c r="DHP23" s="6"/>
      <c r="DHQ23" s="8"/>
      <c r="DHR23" s="8"/>
      <c r="DHS23" s="6"/>
      <c r="DHT23" s="6"/>
      <c r="DHU23" s="8"/>
      <c r="DHV23" s="8"/>
      <c r="DHW23" s="8"/>
      <c r="DHX23" s="28"/>
      <c r="DHY23" s="7"/>
      <c r="DHZ23" s="8"/>
      <c r="DIA23" s="7"/>
      <c r="DIB23" s="7"/>
      <c r="DIC23" s="6"/>
      <c r="DID23" s="7"/>
      <c r="DIE23" s="8"/>
      <c r="DIF23" s="6"/>
      <c r="DIG23" s="8"/>
      <c r="DIH23" s="6"/>
      <c r="DII23" s="8"/>
      <c r="DIJ23" s="8"/>
      <c r="DIK23" s="6"/>
      <c r="DIL23" s="6"/>
      <c r="DIM23" s="8"/>
      <c r="DIN23" s="8"/>
      <c r="DIO23" s="8"/>
      <c r="DIP23" s="28"/>
      <c r="DIQ23" s="7"/>
      <c r="DIR23" s="8"/>
      <c r="DIS23" s="7"/>
      <c r="DIT23" s="7"/>
      <c r="DIU23" s="6"/>
      <c r="DIV23" s="7"/>
      <c r="DIW23" s="8"/>
      <c r="DIX23" s="6"/>
      <c r="DIY23" s="8"/>
      <c r="DIZ23" s="6"/>
      <c r="DJA23" s="8"/>
      <c r="DJB23" s="8"/>
      <c r="DJC23" s="6"/>
      <c r="DJD23" s="6"/>
      <c r="DJE23" s="8"/>
      <c r="DJF23" s="8"/>
      <c r="DJG23" s="8"/>
      <c r="DJH23" s="28"/>
      <c r="DJI23" s="7"/>
      <c r="DJJ23" s="8"/>
      <c r="DJK23" s="7"/>
      <c r="DJL23" s="7"/>
      <c r="DJM23" s="6"/>
      <c r="DJN23" s="7"/>
      <c r="DJO23" s="8"/>
      <c r="DJP23" s="6"/>
      <c r="DJQ23" s="8"/>
      <c r="DJR23" s="6"/>
      <c r="DJS23" s="8"/>
      <c r="DJT23" s="8"/>
      <c r="DJU23" s="6"/>
      <c r="DJV23" s="6"/>
      <c r="DJW23" s="8"/>
      <c r="DJX23" s="8"/>
      <c r="DJY23" s="8"/>
      <c r="DJZ23" s="28"/>
      <c r="DKA23" s="7"/>
      <c r="DKB23" s="8"/>
      <c r="DKC23" s="7"/>
      <c r="DKD23" s="7"/>
      <c r="DKE23" s="6"/>
      <c r="DKF23" s="7"/>
      <c r="DKG23" s="8"/>
      <c r="DKH23" s="6"/>
      <c r="DKI23" s="8"/>
      <c r="DKJ23" s="6"/>
      <c r="DKK23" s="8"/>
      <c r="DKL23" s="8"/>
      <c r="DKM23" s="6"/>
      <c r="DKN23" s="6"/>
      <c r="DKO23" s="8"/>
      <c r="DKP23" s="8"/>
      <c r="DKQ23" s="8"/>
      <c r="DKR23" s="28"/>
      <c r="DKS23" s="7"/>
      <c r="DKT23" s="8"/>
      <c r="DKU23" s="7"/>
      <c r="DKV23" s="7"/>
      <c r="DKW23" s="6"/>
      <c r="DKX23" s="7"/>
      <c r="DKY23" s="8"/>
      <c r="DKZ23" s="6"/>
      <c r="DLA23" s="8"/>
      <c r="DLB23" s="6"/>
      <c r="DLC23" s="8"/>
      <c r="DLD23" s="8"/>
      <c r="DLE23" s="6"/>
      <c r="DLF23" s="6"/>
      <c r="DLG23" s="8"/>
      <c r="DLH23" s="8"/>
      <c r="DLI23" s="8"/>
      <c r="DLJ23" s="28"/>
      <c r="DLK23" s="7"/>
      <c r="DLL23" s="8"/>
      <c r="DLM23" s="7"/>
      <c r="DLN23" s="7"/>
      <c r="DLO23" s="6"/>
      <c r="DLP23" s="7"/>
      <c r="DLQ23" s="8"/>
      <c r="DLR23" s="6"/>
      <c r="DLS23" s="8"/>
      <c r="DLT23" s="6"/>
      <c r="DLU23" s="8"/>
      <c r="DLV23" s="8"/>
      <c r="DLW23" s="6"/>
      <c r="DLX23" s="6"/>
      <c r="DLY23" s="8"/>
      <c r="DLZ23" s="8"/>
      <c r="DMA23" s="8"/>
      <c r="DMB23" s="28"/>
      <c r="DMC23" s="7"/>
      <c r="DMD23" s="8"/>
      <c r="DME23" s="7"/>
      <c r="DMF23" s="7"/>
      <c r="DMG23" s="6"/>
      <c r="DMH23" s="7"/>
      <c r="DMI23" s="8"/>
      <c r="DMJ23" s="6"/>
      <c r="DMK23" s="8"/>
      <c r="DML23" s="6"/>
      <c r="DMM23" s="8"/>
      <c r="DMN23" s="8"/>
      <c r="DMO23" s="6"/>
      <c r="DMP23" s="6"/>
      <c r="DMQ23" s="8"/>
      <c r="DMR23" s="8"/>
      <c r="DMS23" s="8"/>
      <c r="DMT23" s="28"/>
      <c r="DMU23" s="7"/>
      <c r="DMV23" s="8"/>
      <c r="DMW23" s="7"/>
      <c r="DMX23" s="7"/>
      <c r="DMY23" s="6"/>
      <c r="DMZ23" s="7"/>
      <c r="DNA23" s="8"/>
      <c r="DNB23" s="6"/>
      <c r="DNC23" s="8"/>
      <c r="DND23" s="6"/>
      <c r="DNE23" s="8"/>
      <c r="DNF23" s="8"/>
      <c r="DNG23" s="6"/>
      <c r="DNH23" s="6"/>
      <c r="DNI23" s="8"/>
      <c r="DNJ23" s="8"/>
      <c r="DNK23" s="8"/>
      <c r="DNL23" s="28"/>
      <c r="DNM23" s="7"/>
      <c r="DNN23" s="8"/>
      <c r="DNO23" s="7"/>
      <c r="DNP23" s="7"/>
      <c r="DNQ23" s="6"/>
      <c r="DNR23" s="7"/>
      <c r="DNS23" s="8"/>
      <c r="DNT23" s="6"/>
      <c r="DNU23" s="8"/>
      <c r="DNV23" s="6"/>
      <c r="DNW23" s="8"/>
      <c r="DNX23" s="8"/>
      <c r="DNY23" s="6"/>
      <c r="DNZ23" s="6"/>
      <c r="DOA23" s="8"/>
      <c r="DOB23" s="8"/>
      <c r="DOC23" s="8"/>
      <c r="DOD23" s="28"/>
      <c r="DOE23" s="7"/>
      <c r="DOF23" s="8"/>
      <c r="DOG23" s="7"/>
      <c r="DOH23" s="7"/>
      <c r="DOI23" s="6"/>
      <c r="DOJ23" s="7"/>
      <c r="DOK23" s="8"/>
      <c r="DOL23" s="6"/>
      <c r="DOM23" s="8"/>
      <c r="DON23" s="6"/>
      <c r="DOO23" s="8"/>
      <c r="DOP23" s="8"/>
      <c r="DOQ23" s="6"/>
      <c r="DOR23" s="6"/>
      <c r="DOS23" s="8"/>
      <c r="DOT23" s="8"/>
      <c r="DOU23" s="8"/>
      <c r="DOV23" s="28"/>
      <c r="DOW23" s="7"/>
      <c r="DOX23" s="8"/>
      <c r="DOY23" s="7"/>
      <c r="DOZ23" s="7"/>
      <c r="DPA23" s="6"/>
      <c r="DPB23" s="7"/>
      <c r="DPC23" s="8"/>
      <c r="DPD23" s="6"/>
      <c r="DPE23" s="8"/>
      <c r="DPF23" s="6"/>
      <c r="DPG23" s="8"/>
      <c r="DPH23" s="8"/>
      <c r="DPI23" s="6"/>
      <c r="DPJ23" s="6"/>
      <c r="DPK23" s="8"/>
      <c r="DPL23" s="8"/>
      <c r="DPM23" s="8"/>
      <c r="DPN23" s="28"/>
      <c r="DPO23" s="7"/>
      <c r="DPP23" s="8"/>
      <c r="DPQ23" s="7"/>
      <c r="DPR23" s="7"/>
      <c r="DPS23" s="6"/>
      <c r="DPT23" s="7"/>
      <c r="DPU23" s="8"/>
      <c r="DPV23" s="6"/>
      <c r="DPW23" s="8"/>
      <c r="DPX23" s="6"/>
      <c r="DPY23" s="8"/>
      <c r="DPZ23" s="8"/>
      <c r="DQA23" s="6"/>
      <c r="DQB23" s="6"/>
      <c r="DQC23" s="8"/>
      <c r="DQD23" s="8"/>
      <c r="DQE23" s="8"/>
      <c r="DQF23" s="28"/>
      <c r="DQG23" s="7"/>
      <c r="DQH23" s="8"/>
      <c r="DQI23" s="7"/>
      <c r="DQJ23" s="7"/>
      <c r="DQK23" s="6"/>
      <c r="DQL23" s="7"/>
      <c r="DQM23" s="8"/>
      <c r="DQN23" s="6"/>
      <c r="DQO23" s="8"/>
      <c r="DQP23" s="6"/>
      <c r="DQQ23" s="8"/>
      <c r="DQR23" s="8"/>
      <c r="DQS23" s="6"/>
      <c r="DQT23" s="6"/>
      <c r="DQU23" s="8"/>
      <c r="DQV23" s="8"/>
      <c r="DQW23" s="8"/>
      <c r="DQX23" s="28"/>
      <c r="DQY23" s="7"/>
      <c r="DQZ23" s="8"/>
      <c r="DRA23" s="7"/>
      <c r="DRB23" s="7"/>
      <c r="DRC23" s="6"/>
      <c r="DRD23" s="7"/>
      <c r="DRE23" s="8"/>
      <c r="DRF23" s="6"/>
      <c r="DRG23" s="8"/>
      <c r="DRH23" s="6"/>
      <c r="DRI23" s="8"/>
      <c r="DRJ23" s="8"/>
      <c r="DRK23" s="6"/>
      <c r="DRL23" s="6"/>
      <c r="DRM23" s="8"/>
      <c r="DRN23" s="8"/>
      <c r="DRO23" s="8"/>
      <c r="DRP23" s="28"/>
      <c r="DRQ23" s="7"/>
      <c r="DRR23" s="8"/>
      <c r="DRS23" s="7"/>
      <c r="DRT23" s="7"/>
      <c r="DRU23" s="6"/>
      <c r="DRV23" s="7"/>
      <c r="DRW23" s="8"/>
      <c r="DRX23" s="6"/>
      <c r="DRY23" s="8"/>
      <c r="DRZ23" s="6"/>
      <c r="DSA23" s="8"/>
      <c r="DSB23" s="8"/>
      <c r="DSC23" s="6"/>
      <c r="DSD23" s="6"/>
      <c r="DSE23" s="8"/>
      <c r="DSF23" s="8"/>
      <c r="DSG23" s="8"/>
      <c r="DSH23" s="28"/>
      <c r="DSI23" s="7"/>
      <c r="DSJ23" s="8"/>
      <c r="DSK23" s="7"/>
      <c r="DSL23" s="7"/>
      <c r="DSM23" s="6"/>
      <c r="DSN23" s="7"/>
      <c r="DSO23" s="8"/>
      <c r="DSP23" s="6"/>
      <c r="DSQ23" s="8"/>
      <c r="DSR23" s="6"/>
      <c r="DSS23" s="8"/>
      <c r="DST23" s="8"/>
      <c r="DSU23" s="6"/>
      <c r="DSV23" s="6"/>
      <c r="DSW23" s="8"/>
      <c r="DSX23" s="8"/>
      <c r="DSY23" s="8"/>
      <c r="DSZ23" s="28"/>
      <c r="DTA23" s="7"/>
      <c r="DTB23" s="8"/>
      <c r="DTC23" s="7"/>
      <c r="DTD23" s="7"/>
      <c r="DTE23" s="6"/>
      <c r="DTF23" s="7"/>
      <c r="DTG23" s="8"/>
      <c r="DTH23" s="6"/>
      <c r="DTI23" s="8"/>
      <c r="DTJ23" s="6"/>
      <c r="DTK23" s="8"/>
      <c r="DTL23" s="8"/>
      <c r="DTM23" s="6"/>
      <c r="DTN23" s="6"/>
      <c r="DTO23" s="8"/>
      <c r="DTP23" s="8"/>
      <c r="DTQ23" s="8"/>
      <c r="DTR23" s="28"/>
      <c r="DTS23" s="7"/>
      <c r="DTT23" s="8"/>
      <c r="DTU23" s="7"/>
      <c r="DTV23" s="7"/>
      <c r="DTW23" s="6"/>
      <c r="DTX23" s="7"/>
      <c r="DTY23" s="8"/>
      <c r="DTZ23" s="6"/>
      <c r="DUA23" s="8"/>
      <c r="DUB23" s="6"/>
      <c r="DUC23" s="8"/>
      <c r="DUD23" s="8"/>
      <c r="DUE23" s="6"/>
      <c r="DUF23" s="6"/>
      <c r="DUG23" s="8"/>
      <c r="DUH23" s="8"/>
      <c r="DUI23" s="8"/>
      <c r="DUJ23" s="28"/>
      <c r="DUK23" s="7"/>
      <c r="DUL23" s="8"/>
      <c r="DUM23" s="7"/>
      <c r="DUN23" s="7"/>
      <c r="DUO23" s="6"/>
      <c r="DUP23" s="7"/>
      <c r="DUQ23" s="8"/>
      <c r="DUR23" s="6"/>
      <c r="DUS23" s="8"/>
      <c r="DUT23" s="6"/>
      <c r="DUU23" s="8"/>
      <c r="DUV23" s="8"/>
      <c r="DUW23" s="6"/>
      <c r="DUX23" s="6"/>
      <c r="DUY23" s="8"/>
      <c r="DUZ23" s="8"/>
      <c r="DVA23" s="8"/>
      <c r="DVB23" s="28"/>
      <c r="DVC23" s="7"/>
      <c r="DVD23" s="8"/>
      <c r="DVE23" s="7"/>
      <c r="DVF23" s="7"/>
      <c r="DVG23" s="6"/>
      <c r="DVH23" s="7"/>
      <c r="DVI23" s="8"/>
      <c r="DVJ23" s="6"/>
      <c r="DVK23" s="8"/>
      <c r="DVL23" s="6"/>
      <c r="DVM23" s="8"/>
      <c r="DVN23" s="8"/>
      <c r="DVO23" s="6"/>
      <c r="DVP23" s="6"/>
      <c r="DVQ23" s="8"/>
      <c r="DVR23" s="8"/>
      <c r="DVS23" s="8"/>
      <c r="DVT23" s="28"/>
      <c r="DVU23" s="7"/>
      <c r="DVV23" s="8"/>
      <c r="DVW23" s="7"/>
      <c r="DVX23" s="7"/>
      <c r="DVY23" s="6"/>
      <c r="DVZ23" s="7"/>
      <c r="DWA23" s="8"/>
      <c r="DWB23" s="6"/>
      <c r="DWC23" s="8"/>
      <c r="DWD23" s="6"/>
      <c r="DWE23" s="8"/>
      <c r="DWF23" s="8"/>
      <c r="DWG23" s="6"/>
      <c r="DWH23" s="6"/>
      <c r="DWI23" s="8"/>
      <c r="DWJ23" s="8"/>
      <c r="DWK23" s="8"/>
      <c r="DWL23" s="28"/>
      <c r="DWM23" s="7"/>
      <c r="DWN23" s="8"/>
      <c r="DWO23" s="7"/>
      <c r="DWP23" s="7"/>
      <c r="DWQ23" s="6"/>
      <c r="DWR23" s="7"/>
      <c r="DWS23" s="8"/>
      <c r="DWT23" s="6"/>
      <c r="DWU23" s="8"/>
      <c r="DWV23" s="6"/>
      <c r="DWW23" s="8"/>
      <c r="DWX23" s="8"/>
      <c r="DWY23" s="6"/>
      <c r="DWZ23" s="6"/>
      <c r="DXA23" s="8"/>
      <c r="DXB23" s="8"/>
      <c r="DXC23" s="8"/>
      <c r="DXD23" s="28"/>
      <c r="DXE23" s="7"/>
      <c r="DXF23" s="8"/>
      <c r="DXG23" s="7"/>
      <c r="DXH23" s="7"/>
      <c r="DXI23" s="6"/>
      <c r="DXJ23" s="7"/>
      <c r="DXK23" s="8"/>
      <c r="DXL23" s="6"/>
      <c r="DXM23" s="8"/>
      <c r="DXN23" s="6"/>
      <c r="DXO23" s="8"/>
      <c r="DXP23" s="8"/>
      <c r="DXQ23" s="6"/>
      <c r="DXR23" s="6"/>
      <c r="DXS23" s="8"/>
      <c r="DXT23" s="8"/>
      <c r="DXU23" s="8"/>
      <c r="DXV23" s="28"/>
      <c r="DXW23" s="7"/>
      <c r="DXX23" s="8"/>
      <c r="DXY23" s="7"/>
      <c r="DXZ23" s="7"/>
      <c r="DYA23" s="6"/>
      <c r="DYB23" s="7"/>
      <c r="DYC23" s="8"/>
      <c r="DYD23" s="6"/>
      <c r="DYE23" s="8"/>
      <c r="DYF23" s="6"/>
      <c r="DYG23" s="8"/>
      <c r="DYH23" s="8"/>
      <c r="DYI23" s="6"/>
      <c r="DYJ23" s="6"/>
      <c r="DYK23" s="8"/>
      <c r="DYL23" s="8"/>
      <c r="DYM23" s="8"/>
      <c r="DYN23" s="28"/>
      <c r="DYO23" s="7"/>
      <c r="DYP23" s="8"/>
      <c r="DYQ23" s="7"/>
      <c r="DYR23" s="7"/>
      <c r="DYS23" s="6"/>
      <c r="DYT23" s="7"/>
      <c r="DYU23" s="8"/>
      <c r="DYV23" s="6"/>
      <c r="DYW23" s="8"/>
      <c r="DYX23" s="6"/>
      <c r="DYY23" s="8"/>
      <c r="DYZ23" s="8"/>
      <c r="DZA23" s="6"/>
      <c r="DZB23" s="6"/>
      <c r="DZC23" s="8"/>
      <c r="DZD23" s="8"/>
      <c r="DZE23" s="8"/>
      <c r="DZF23" s="28"/>
      <c r="DZG23" s="7"/>
      <c r="DZH23" s="8"/>
      <c r="DZI23" s="7"/>
      <c r="DZJ23" s="7"/>
      <c r="DZK23" s="6"/>
      <c r="DZL23" s="7"/>
      <c r="DZM23" s="8"/>
      <c r="DZN23" s="6"/>
      <c r="DZO23" s="8"/>
      <c r="DZP23" s="6"/>
      <c r="DZQ23" s="8"/>
      <c r="DZR23" s="8"/>
      <c r="DZS23" s="6"/>
      <c r="DZT23" s="6"/>
      <c r="DZU23" s="8"/>
      <c r="DZV23" s="8"/>
      <c r="DZW23" s="8"/>
      <c r="DZX23" s="28"/>
      <c r="DZY23" s="7"/>
      <c r="DZZ23" s="8"/>
      <c r="EAA23" s="7"/>
      <c r="EAB23" s="7"/>
      <c r="EAC23" s="6"/>
      <c r="EAD23" s="7"/>
      <c r="EAE23" s="8"/>
      <c r="EAF23" s="6"/>
      <c r="EAG23" s="8"/>
      <c r="EAH23" s="6"/>
      <c r="EAI23" s="8"/>
      <c r="EAJ23" s="8"/>
      <c r="EAK23" s="6"/>
      <c r="EAL23" s="6"/>
      <c r="EAM23" s="8"/>
      <c r="EAN23" s="8"/>
      <c r="EAO23" s="8"/>
      <c r="EAP23" s="28"/>
      <c r="EAQ23" s="7"/>
      <c r="EAR23" s="8"/>
      <c r="EAS23" s="7"/>
      <c r="EAT23" s="7"/>
      <c r="EAU23" s="6"/>
      <c r="EAV23" s="7"/>
      <c r="EAW23" s="8"/>
      <c r="EAX23" s="6"/>
      <c r="EAY23" s="8"/>
      <c r="EAZ23" s="6"/>
      <c r="EBA23" s="8"/>
      <c r="EBB23" s="8"/>
      <c r="EBC23" s="6"/>
      <c r="EBD23" s="6"/>
      <c r="EBE23" s="8"/>
      <c r="EBF23" s="8"/>
      <c r="EBG23" s="8"/>
      <c r="EBH23" s="28"/>
      <c r="EBI23" s="7"/>
      <c r="EBJ23" s="8"/>
      <c r="EBK23" s="7"/>
      <c r="EBL23" s="7"/>
      <c r="EBM23" s="6"/>
      <c r="EBN23" s="7"/>
      <c r="EBO23" s="8"/>
      <c r="EBP23" s="6"/>
      <c r="EBQ23" s="8"/>
      <c r="EBR23" s="6"/>
      <c r="EBS23" s="8"/>
      <c r="EBT23" s="8"/>
      <c r="EBU23" s="6"/>
      <c r="EBV23" s="6"/>
      <c r="EBW23" s="8"/>
      <c r="EBX23" s="8"/>
      <c r="EBY23" s="8"/>
      <c r="EBZ23" s="28"/>
      <c r="ECA23" s="7"/>
      <c r="ECB23" s="8"/>
      <c r="ECC23" s="7"/>
      <c r="ECD23" s="7"/>
      <c r="ECE23" s="6"/>
      <c r="ECF23" s="7"/>
      <c r="ECG23" s="8"/>
      <c r="ECH23" s="6"/>
      <c r="ECI23" s="8"/>
      <c r="ECJ23" s="6"/>
      <c r="ECK23" s="8"/>
      <c r="ECL23" s="8"/>
      <c r="ECM23" s="6"/>
      <c r="ECN23" s="6"/>
      <c r="ECO23" s="8"/>
      <c r="ECP23" s="8"/>
      <c r="ECQ23" s="8"/>
      <c r="ECR23" s="28"/>
      <c r="ECS23" s="7"/>
      <c r="ECT23" s="8"/>
      <c r="ECU23" s="7"/>
      <c r="ECV23" s="7"/>
      <c r="ECW23" s="6"/>
      <c r="ECX23" s="7"/>
      <c r="ECY23" s="8"/>
      <c r="ECZ23" s="6"/>
      <c r="EDA23" s="8"/>
      <c r="EDB23" s="6"/>
      <c r="EDC23" s="8"/>
      <c r="EDD23" s="8"/>
      <c r="EDE23" s="6"/>
      <c r="EDF23" s="6"/>
      <c r="EDG23" s="8"/>
      <c r="EDH23" s="8"/>
      <c r="EDI23" s="8"/>
      <c r="EDJ23" s="28"/>
      <c r="EDK23" s="7"/>
      <c r="EDL23" s="8"/>
      <c r="EDM23" s="7"/>
      <c r="EDN23" s="7"/>
      <c r="EDO23" s="6"/>
      <c r="EDP23" s="7"/>
      <c r="EDQ23" s="8"/>
      <c r="EDR23" s="6"/>
      <c r="EDS23" s="8"/>
      <c r="EDT23" s="6"/>
      <c r="EDU23" s="8"/>
      <c r="EDV23" s="8"/>
      <c r="EDW23" s="6"/>
      <c r="EDX23" s="6"/>
      <c r="EDY23" s="8"/>
      <c r="EDZ23" s="8"/>
      <c r="EEA23" s="8"/>
      <c r="EEB23" s="28"/>
      <c r="EEC23" s="7"/>
      <c r="EED23" s="8"/>
      <c r="EEE23" s="7"/>
      <c r="EEF23" s="7"/>
      <c r="EEG23" s="6"/>
      <c r="EEH23" s="7"/>
      <c r="EEI23" s="8"/>
      <c r="EEJ23" s="6"/>
      <c r="EEK23" s="8"/>
      <c r="EEL23" s="6"/>
      <c r="EEM23" s="8"/>
      <c r="EEN23" s="8"/>
      <c r="EEO23" s="6"/>
      <c r="EEP23" s="6"/>
      <c r="EEQ23" s="8"/>
      <c r="EER23" s="8"/>
      <c r="EES23" s="8"/>
      <c r="EET23" s="28"/>
      <c r="EEU23" s="7"/>
      <c r="EEV23" s="8"/>
      <c r="EEW23" s="7"/>
      <c r="EEX23" s="7"/>
      <c r="EEY23" s="6"/>
      <c r="EEZ23" s="7"/>
      <c r="EFA23" s="8"/>
      <c r="EFB23" s="6"/>
      <c r="EFC23" s="8"/>
      <c r="EFD23" s="6"/>
      <c r="EFE23" s="8"/>
      <c r="EFF23" s="8"/>
      <c r="EFG23" s="6"/>
      <c r="EFH23" s="6"/>
      <c r="EFI23" s="8"/>
      <c r="EFJ23" s="8"/>
      <c r="EFK23" s="8"/>
      <c r="EFL23" s="28"/>
      <c r="EFM23" s="7"/>
      <c r="EFN23" s="8"/>
      <c r="EFO23" s="7"/>
      <c r="EFP23" s="7"/>
      <c r="EFQ23" s="6"/>
      <c r="EFR23" s="7"/>
      <c r="EFS23" s="8"/>
      <c r="EFT23" s="6"/>
      <c r="EFU23" s="8"/>
      <c r="EFV23" s="6"/>
      <c r="EFW23" s="8"/>
      <c r="EFX23" s="8"/>
      <c r="EFY23" s="6"/>
      <c r="EFZ23" s="6"/>
      <c r="EGA23" s="8"/>
      <c r="EGB23" s="8"/>
      <c r="EGC23" s="8"/>
      <c r="EGD23" s="28"/>
      <c r="EGE23" s="7"/>
      <c r="EGF23" s="8"/>
      <c r="EGG23" s="7"/>
      <c r="EGH23" s="7"/>
      <c r="EGI23" s="6"/>
      <c r="EGJ23" s="7"/>
      <c r="EGK23" s="8"/>
      <c r="EGL23" s="6"/>
      <c r="EGM23" s="8"/>
      <c r="EGN23" s="6"/>
      <c r="EGO23" s="8"/>
      <c r="EGP23" s="8"/>
      <c r="EGQ23" s="6"/>
      <c r="EGR23" s="6"/>
      <c r="EGS23" s="8"/>
      <c r="EGT23" s="8"/>
      <c r="EGU23" s="8"/>
      <c r="EGV23" s="28"/>
      <c r="EGW23" s="7"/>
      <c r="EGX23" s="8"/>
      <c r="EGY23" s="7"/>
      <c r="EGZ23" s="7"/>
      <c r="EHA23" s="6"/>
      <c r="EHB23" s="7"/>
      <c r="EHC23" s="8"/>
      <c r="EHD23" s="6"/>
      <c r="EHE23" s="8"/>
      <c r="EHF23" s="6"/>
      <c r="EHG23" s="8"/>
      <c r="EHH23" s="8"/>
      <c r="EHI23" s="6"/>
      <c r="EHJ23" s="6"/>
      <c r="EHK23" s="8"/>
      <c r="EHL23" s="8"/>
      <c r="EHM23" s="8"/>
      <c r="EHN23" s="28"/>
      <c r="EHO23" s="7"/>
      <c r="EHP23" s="8"/>
      <c r="EHQ23" s="7"/>
      <c r="EHR23" s="7"/>
      <c r="EHS23" s="6"/>
      <c r="EHT23" s="7"/>
      <c r="EHU23" s="8"/>
      <c r="EHV23" s="6"/>
      <c r="EHW23" s="8"/>
      <c r="EHX23" s="6"/>
      <c r="EHY23" s="8"/>
      <c r="EHZ23" s="8"/>
      <c r="EIA23" s="6"/>
      <c r="EIB23" s="6"/>
      <c r="EIC23" s="8"/>
      <c r="EID23" s="8"/>
      <c r="EIE23" s="8"/>
      <c r="EIF23" s="28"/>
      <c r="EIG23" s="7"/>
      <c r="EIH23" s="8"/>
      <c r="EII23" s="7"/>
      <c r="EIJ23" s="7"/>
      <c r="EIK23" s="6"/>
      <c r="EIL23" s="7"/>
      <c r="EIM23" s="8"/>
      <c r="EIN23" s="6"/>
      <c r="EIO23" s="8"/>
      <c r="EIP23" s="6"/>
      <c r="EIQ23" s="8"/>
      <c r="EIR23" s="8"/>
      <c r="EIS23" s="6"/>
      <c r="EIT23" s="6"/>
      <c r="EIU23" s="8"/>
      <c r="EIV23" s="8"/>
      <c r="EIW23" s="8"/>
      <c r="EIX23" s="28"/>
      <c r="EIY23" s="7"/>
      <c r="EIZ23" s="8"/>
      <c r="EJA23" s="7"/>
      <c r="EJB23" s="7"/>
      <c r="EJC23" s="6"/>
      <c r="EJD23" s="7"/>
      <c r="EJE23" s="8"/>
      <c r="EJF23" s="6"/>
      <c r="EJG23" s="8"/>
      <c r="EJH23" s="6"/>
      <c r="EJI23" s="8"/>
      <c r="EJJ23" s="8"/>
      <c r="EJK23" s="6"/>
      <c r="EJL23" s="6"/>
      <c r="EJM23" s="8"/>
      <c r="EJN23" s="8"/>
      <c r="EJO23" s="8"/>
      <c r="EJP23" s="28"/>
      <c r="EJQ23" s="7"/>
      <c r="EJR23" s="8"/>
      <c r="EJS23" s="7"/>
      <c r="EJT23" s="7"/>
      <c r="EJU23" s="6"/>
      <c r="EJV23" s="7"/>
      <c r="EJW23" s="8"/>
      <c r="EJX23" s="6"/>
      <c r="EJY23" s="8"/>
      <c r="EJZ23" s="6"/>
      <c r="EKA23" s="8"/>
      <c r="EKB23" s="8"/>
      <c r="EKC23" s="6"/>
      <c r="EKD23" s="6"/>
      <c r="EKE23" s="8"/>
      <c r="EKF23" s="8"/>
      <c r="EKG23" s="8"/>
      <c r="EKH23" s="28"/>
      <c r="EKI23" s="7"/>
      <c r="EKJ23" s="8"/>
      <c r="EKK23" s="7"/>
      <c r="EKL23" s="7"/>
      <c r="EKM23" s="6"/>
      <c r="EKN23" s="7"/>
      <c r="EKO23" s="8"/>
      <c r="EKP23" s="6"/>
      <c r="EKQ23" s="8"/>
      <c r="EKR23" s="6"/>
      <c r="EKS23" s="8"/>
      <c r="EKT23" s="8"/>
      <c r="EKU23" s="6"/>
      <c r="EKV23" s="6"/>
      <c r="EKW23" s="8"/>
      <c r="EKX23" s="8"/>
      <c r="EKY23" s="8"/>
      <c r="EKZ23" s="28"/>
      <c r="ELA23" s="7"/>
      <c r="ELB23" s="8"/>
      <c r="ELC23" s="7"/>
      <c r="ELD23" s="7"/>
      <c r="ELE23" s="6"/>
      <c r="ELF23" s="7"/>
      <c r="ELG23" s="8"/>
      <c r="ELH23" s="6"/>
      <c r="ELI23" s="8"/>
      <c r="ELJ23" s="6"/>
      <c r="ELK23" s="8"/>
      <c r="ELL23" s="8"/>
      <c r="ELM23" s="6"/>
      <c r="ELN23" s="6"/>
      <c r="ELO23" s="8"/>
      <c r="ELP23" s="8"/>
      <c r="ELQ23" s="8"/>
      <c r="ELR23" s="28"/>
      <c r="ELS23" s="7"/>
      <c r="ELT23" s="8"/>
      <c r="ELU23" s="7"/>
      <c r="ELV23" s="7"/>
      <c r="ELW23" s="6"/>
      <c r="ELX23" s="7"/>
      <c r="ELY23" s="8"/>
      <c r="ELZ23" s="6"/>
      <c r="EMA23" s="8"/>
      <c r="EMB23" s="6"/>
      <c r="EMC23" s="8"/>
      <c r="EMD23" s="8"/>
      <c r="EME23" s="6"/>
      <c r="EMF23" s="6"/>
      <c r="EMG23" s="8"/>
      <c r="EMH23" s="8"/>
      <c r="EMI23" s="8"/>
      <c r="EMJ23" s="28"/>
      <c r="EMK23" s="7"/>
      <c r="EML23" s="8"/>
      <c r="EMM23" s="7"/>
      <c r="EMN23" s="7"/>
      <c r="EMO23" s="6"/>
      <c r="EMP23" s="7"/>
      <c r="EMQ23" s="8"/>
      <c r="EMR23" s="6"/>
      <c r="EMS23" s="8"/>
      <c r="EMT23" s="6"/>
      <c r="EMU23" s="8"/>
      <c r="EMV23" s="8"/>
      <c r="EMW23" s="6"/>
      <c r="EMX23" s="6"/>
      <c r="EMY23" s="8"/>
      <c r="EMZ23" s="8"/>
      <c r="ENA23" s="8"/>
      <c r="ENB23" s="28"/>
      <c r="ENC23" s="7"/>
      <c r="END23" s="8"/>
      <c r="ENE23" s="7"/>
      <c r="ENF23" s="7"/>
      <c r="ENG23" s="6"/>
      <c r="ENH23" s="7"/>
      <c r="ENI23" s="8"/>
      <c r="ENJ23" s="6"/>
      <c r="ENK23" s="8"/>
      <c r="ENL23" s="6"/>
      <c r="ENM23" s="8"/>
      <c r="ENN23" s="8"/>
      <c r="ENO23" s="6"/>
      <c r="ENP23" s="6"/>
      <c r="ENQ23" s="8"/>
      <c r="ENR23" s="8"/>
      <c r="ENS23" s="8"/>
      <c r="ENT23" s="28"/>
      <c r="ENU23" s="7"/>
      <c r="ENV23" s="8"/>
      <c r="ENW23" s="7"/>
      <c r="ENX23" s="7"/>
      <c r="ENY23" s="6"/>
      <c r="ENZ23" s="7"/>
      <c r="EOA23" s="8"/>
      <c r="EOB23" s="6"/>
      <c r="EOC23" s="8"/>
      <c r="EOD23" s="6"/>
      <c r="EOE23" s="8"/>
      <c r="EOF23" s="8"/>
      <c r="EOG23" s="6"/>
      <c r="EOH23" s="6"/>
      <c r="EOI23" s="8"/>
      <c r="EOJ23" s="8"/>
      <c r="EOK23" s="8"/>
      <c r="EOL23" s="28"/>
      <c r="EOM23" s="7"/>
      <c r="EON23" s="8"/>
      <c r="EOO23" s="7"/>
      <c r="EOP23" s="7"/>
      <c r="EOQ23" s="6"/>
      <c r="EOR23" s="7"/>
      <c r="EOS23" s="8"/>
      <c r="EOT23" s="6"/>
      <c r="EOU23" s="8"/>
      <c r="EOV23" s="6"/>
      <c r="EOW23" s="8"/>
      <c r="EOX23" s="8"/>
      <c r="EOY23" s="6"/>
      <c r="EOZ23" s="6"/>
      <c r="EPA23" s="8"/>
      <c r="EPB23" s="8"/>
      <c r="EPC23" s="8"/>
      <c r="EPD23" s="28"/>
      <c r="EPE23" s="7"/>
      <c r="EPF23" s="8"/>
      <c r="EPG23" s="7"/>
      <c r="EPH23" s="7"/>
      <c r="EPI23" s="6"/>
      <c r="EPJ23" s="7"/>
      <c r="EPK23" s="8"/>
      <c r="EPL23" s="6"/>
      <c r="EPM23" s="8"/>
      <c r="EPN23" s="6"/>
      <c r="EPO23" s="8"/>
      <c r="EPP23" s="8"/>
      <c r="EPQ23" s="6"/>
      <c r="EPR23" s="6"/>
      <c r="EPS23" s="8"/>
      <c r="EPT23" s="8"/>
      <c r="EPU23" s="8"/>
      <c r="EPV23" s="28"/>
      <c r="EPW23" s="7"/>
      <c r="EPX23" s="8"/>
      <c r="EPY23" s="7"/>
      <c r="EPZ23" s="7"/>
      <c r="EQA23" s="6"/>
      <c r="EQB23" s="7"/>
      <c r="EQC23" s="8"/>
      <c r="EQD23" s="6"/>
      <c r="EQE23" s="8"/>
      <c r="EQF23" s="6"/>
      <c r="EQG23" s="8"/>
      <c r="EQH23" s="8"/>
      <c r="EQI23" s="6"/>
      <c r="EQJ23" s="6"/>
      <c r="EQK23" s="8"/>
      <c r="EQL23" s="8"/>
      <c r="EQM23" s="8"/>
      <c r="EQN23" s="28"/>
      <c r="EQO23" s="7"/>
      <c r="EQP23" s="8"/>
      <c r="EQQ23" s="7"/>
      <c r="EQR23" s="7"/>
      <c r="EQS23" s="6"/>
      <c r="EQT23" s="7"/>
      <c r="EQU23" s="8"/>
      <c r="EQV23" s="6"/>
      <c r="EQW23" s="8"/>
      <c r="EQX23" s="6"/>
      <c r="EQY23" s="8"/>
      <c r="EQZ23" s="8"/>
      <c r="ERA23" s="6"/>
      <c r="ERB23" s="6"/>
      <c r="ERC23" s="8"/>
      <c r="ERD23" s="8"/>
      <c r="ERE23" s="8"/>
      <c r="ERF23" s="28"/>
      <c r="ERG23" s="7"/>
      <c r="ERH23" s="8"/>
      <c r="ERI23" s="7"/>
      <c r="ERJ23" s="7"/>
      <c r="ERK23" s="6"/>
      <c r="ERL23" s="7"/>
      <c r="ERM23" s="8"/>
      <c r="ERN23" s="6"/>
      <c r="ERO23" s="8"/>
      <c r="ERP23" s="6"/>
      <c r="ERQ23" s="8"/>
      <c r="ERR23" s="8"/>
      <c r="ERS23" s="6"/>
      <c r="ERT23" s="6"/>
      <c r="ERU23" s="8"/>
      <c r="ERV23" s="8"/>
      <c r="ERW23" s="8"/>
      <c r="ERX23" s="28"/>
      <c r="ERY23" s="7"/>
      <c r="ERZ23" s="8"/>
      <c r="ESA23" s="7"/>
      <c r="ESB23" s="7"/>
      <c r="ESC23" s="6"/>
      <c r="ESD23" s="7"/>
      <c r="ESE23" s="8"/>
      <c r="ESF23" s="6"/>
      <c r="ESG23" s="8"/>
      <c r="ESH23" s="6"/>
      <c r="ESI23" s="8"/>
      <c r="ESJ23" s="8"/>
      <c r="ESK23" s="6"/>
      <c r="ESL23" s="6"/>
      <c r="ESM23" s="8"/>
      <c r="ESN23" s="8"/>
      <c r="ESO23" s="8"/>
      <c r="ESP23" s="28"/>
      <c r="ESQ23" s="7"/>
      <c r="ESR23" s="8"/>
      <c r="ESS23" s="7"/>
      <c r="EST23" s="7"/>
      <c r="ESU23" s="6"/>
      <c r="ESV23" s="7"/>
      <c r="ESW23" s="8"/>
      <c r="ESX23" s="6"/>
      <c r="ESY23" s="8"/>
      <c r="ESZ23" s="6"/>
      <c r="ETA23" s="8"/>
      <c r="ETB23" s="8"/>
      <c r="ETC23" s="6"/>
      <c r="ETD23" s="6"/>
      <c r="ETE23" s="8"/>
      <c r="ETF23" s="8"/>
      <c r="ETG23" s="8"/>
      <c r="ETH23" s="28"/>
      <c r="ETI23" s="7"/>
      <c r="ETJ23" s="8"/>
      <c r="ETK23" s="7"/>
      <c r="ETL23" s="7"/>
      <c r="ETM23" s="6"/>
      <c r="ETN23" s="7"/>
      <c r="ETO23" s="8"/>
      <c r="ETP23" s="6"/>
      <c r="ETQ23" s="8"/>
      <c r="ETR23" s="6"/>
      <c r="ETS23" s="8"/>
      <c r="ETT23" s="8"/>
      <c r="ETU23" s="6"/>
      <c r="ETV23" s="6"/>
      <c r="ETW23" s="8"/>
      <c r="ETX23" s="8"/>
      <c r="ETY23" s="8"/>
      <c r="ETZ23" s="28"/>
      <c r="EUA23" s="7"/>
      <c r="EUB23" s="8"/>
      <c r="EUC23" s="7"/>
      <c r="EUD23" s="7"/>
      <c r="EUE23" s="6"/>
      <c r="EUF23" s="7"/>
      <c r="EUG23" s="8"/>
      <c r="EUH23" s="6"/>
      <c r="EUI23" s="8"/>
      <c r="EUJ23" s="6"/>
      <c r="EUK23" s="8"/>
      <c r="EUL23" s="8"/>
      <c r="EUM23" s="6"/>
      <c r="EUN23" s="6"/>
      <c r="EUO23" s="8"/>
      <c r="EUP23" s="8"/>
      <c r="EUQ23" s="8"/>
      <c r="EUR23" s="28"/>
      <c r="EUS23" s="7"/>
      <c r="EUT23" s="8"/>
      <c r="EUU23" s="7"/>
      <c r="EUV23" s="7"/>
      <c r="EUW23" s="6"/>
      <c r="EUX23" s="7"/>
      <c r="EUY23" s="8"/>
      <c r="EUZ23" s="6"/>
      <c r="EVA23" s="8"/>
      <c r="EVB23" s="6"/>
      <c r="EVC23" s="8"/>
      <c r="EVD23" s="8"/>
      <c r="EVE23" s="6"/>
      <c r="EVF23" s="6"/>
      <c r="EVG23" s="8"/>
      <c r="EVH23" s="8"/>
      <c r="EVI23" s="8"/>
      <c r="EVJ23" s="28"/>
      <c r="EVK23" s="7"/>
      <c r="EVL23" s="8"/>
      <c r="EVM23" s="7"/>
      <c r="EVN23" s="7"/>
      <c r="EVO23" s="6"/>
      <c r="EVP23" s="7"/>
      <c r="EVQ23" s="8"/>
      <c r="EVR23" s="6"/>
      <c r="EVS23" s="8"/>
      <c r="EVT23" s="6"/>
      <c r="EVU23" s="8"/>
      <c r="EVV23" s="8"/>
      <c r="EVW23" s="6"/>
      <c r="EVX23" s="6"/>
      <c r="EVY23" s="8"/>
      <c r="EVZ23" s="8"/>
      <c r="EWA23" s="8"/>
      <c r="EWB23" s="28"/>
      <c r="EWC23" s="7"/>
      <c r="EWD23" s="8"/>
      <c r="EWE23" s="7"/>
      <c r="EWF23" s="7"/>
      <c r="EWG23" s="6"/>
      <c r="EWH23" s="7"/>
      <c r="EWI23" s="8"/>
      <c r="EWJ23" s="6"/>
      <c r="EWK23" s="8"/>
      <c r="EWL23" s="6"/>
      <c r="EWM23" s="8"/>
      <c r="EWN23" s="8"/>
      <c r="EWO23" s="6"/>
      <c r="EWP23" s="6"/>
      <c r="EWQ23" s="8"/>
      <c r="EWR23" s="8"/>
      <c r="EWS23" s="8"/>
      <c r="EWT23" s="28"/>
      <c r="EWU23" s="7"/>
      <c r="EWV23" s="8"/>
      <c r="EWW23" s="7"/>
      <c r="EWX23" s="7"/>
      <c r="EWY23" s="6"/>
      <c r="EWZ23" s="7"/>
      <c r="EXA23" s="8"/>
      <c r="EXB23" s="6"/>
      <c r="EXC23" s="8"/>
      <c r="EXD23" s="6"/>
      <c r="EXE23" s="8"/>
      <c r="EXF23" s="8"/>
      <c r="EXG23" s="6"/>
      <c r="EXH23" s="6"/>
      <c r="EXI23" s="8"/>
      <c r="EXJ23" s="8"/>
      <c r="EXK23" s="8"/>
      <c r="EXL23" s="28"/>
      <c r="EXM23" s="7"/>
      <c r="EXN23" s="8"/>
      <c r="EXO23" s="7"/>
      <c r="EXP23" s="7"/>
      <c r="EXQ23" s="6"/>
      <c r="EXR23" s="7"/>
      <c r="EXS23" s="8"/>
      <c r="EXT23" s="6"/>
      <c r="EXU23" s="8"/>
      <c r="EXV23" s="6"/>
      <c r="EXW23" s="8"/>
      <c r="EXX23" s="8"/>
      <c r="EXY23" s="6"/>
      <c r="EXZ23" s="6"/>
      <c r="EYA23" s="8"/>
      <c r="EYB23" s="8"/>
      <c r="EYC23" s="8"/>
      <c r="EYD23" s="28"/>
      <c r="EYE23" s="7"/>
      <c r="EYF23" s="8"/>
      <c r="EYG23" s="7"/>
      <c r="EYH23" s="7"/>
      <c r="EYI23" s="6"/>
      <c r="EYJ23" s="7"/>
      <c r="EYK23" s="8"/>
      <c r="EYL23" s="6"/>
      <c r="EYM23" s="8"/>
      <c r="EYN23" s="6"/>
      <c r="EYO23" s="8"/>
      <c r="EYP23" s="8"/>
      <c r="EYQ23" s="6"/>
      <c r="EYR23" s="6"/>
      <c r="EYS23" s="8"/>
      <c r="EYT23" s="8"/>
      <c r="EYU23" s="8"/>
      <c r="EYV23" s="28"/>
      <c r="EYW23" s="7"/>
      <c r="EYX23" s="8"/>
      <c r="EYY23" s="7"/>
      <c r="EYZ23" s="7"/>
      <c r="EZA23" s="6"/>
      <c r="EZB23" s="7"/>
      <c r="EZC23" s="8"/>
      <c r="EZD23" s="6"/>
      <c r="EZE23" s="8"/>
      <c r="EZF23" s="6"/>
      <c r="EZG23" s="8"/>
      <c r="EZH23" s="8"/>
      <c r="EZI23" s="6"/>
      <c r="EZJ23" s="6"/>
      <c r="EZK23" s="8"/>
      <c r="EZL23" s="8"/>
      <c r="EZM23" s="8"/>
      <c r="EZN23" s="28"/>
      <c r="EZO23" s="7"/>
      <c r="EZP23" s="8"/>
      <c r="EZQ23" s="7"/>
      <c r="EZR23" s="7"/>
      <c r="EZS23" s="6"/>
      <c r="EZT23" s="7"/>
      <c r="EZU23" s="8"/>
      <c r="EZV23" s="6"/>
      <c r="EZW23" s="8"/>
      <c r="EZX23" s="6"/>
      <c r="EZY23" s="8"/>
      <c r="EZZ23" s="8"/>
      <c r="FAA23" s="6"/>
      <c r="FAB23" s="6"/>
      <c r="FAC23" s="8"/>
      <c r="FAD23" s="8"/>
      <c r="FAE23" s="8"/>
      <c r="FAF23" s="28"/>
      <c r="FAG23" s="7"/>
      <c r="FAH23" s="8"/>
      <c r="FAI23" s="7"/>
      <c r="FAJ23" s="7"/>
      <c r="FAK23" s="6"/>
      <c r="FAL23" s="7"/>
      <c r="FAM23" s="8"/>
      <c r="FAN23" s="6"/>
      <c r="FAO23" s="8"/>
      <c r="FAP23" s="6"/>
      <c r="FAQ23" s="8"/>
      <c r="FAR23" s="8"/>
      <c r="FAS23" s="6"/>
      <c r="FAT23" s="6"/>
      <c r="FAU23" s="8"/>
      <c r="FAV23" s="8"/>
      <c r="FAW23" s="8"/>
      <c r="FAX23" s="28"/>
      <c r="FAY23" s="7"/>
      <c r="FAZ23" s="8"/>
      <c r="FBA23" s="7"/>
      <c r="FBB23" s="7"/>
      <c r="FBC23" s="6"/>
      <c r="FBD23" s="7"/>
      <c r="FBE23" s="8"/>
      <c r="FBF23" s="6"/>
      <c r="FBG23" s="8"/>
      <c r="FBH23" s="6"/>
      <c r="FBI23" s="8"/>
      <c r="FBJ23" s="8"/>
      <c r="FBK23" s="6"/>
      <c r="FBL23" s="6"/>
      <c r="FBM23" s="8"/>
      <c r="FBN23" s="8"/>
      <c r="FBO23" s="8"/>
      <c r="FBP23" s="28"/>
      <c r="FBQ23" s="7"/>
      <c r="FBR23" s="8"/>
      <c r="FBS23" s="7"/>
      <c r="FBT23" s="7"/>
      <c r="FBU23" s="6"/>
      <c r="FBV23" s="7"/>
      <c r="FBW23" s="8"/>
      <c r="FBX23" s="6"/>
      <c r="FBY23" s="8"/>
      <c r="FBZ23" s="6"/>
      <c r="FCA23" s="8"/>
      <c r="FCB23" s="8"/>
      <c r="FCC23" s="6"/>
      <c r="FCD23" s="6"/>
      <c r="FCE23" s="8"/>
      <c r="FCF23" s="8"/>
      <c r="FCG23" s="8"/>
      <c r="FCH23" s="28"/>
      <c r="FCI23" s="7"/>
      <c r="FCJ23" s="8"/>
      <c r="FCK23" s="7"/>
      <c r="FCL23" s="7"/>
      <c r="FCM23" s="6"/>
      <c r="FCN23" s="7"/>
      <c r="FCO23" s="8"/>
      <c r="FCP23" s="6"/>
      <c r="FCQ23" s="8"/>
      <c r="FCR23" s="6"/>
      <c r="FCS23" s="8"/>
      <c r="FCT23" s="8"/>
      <c r="FCU23" s="6"/>
      <c r="FCV23" s="6"/>
      <c r="FCW23" s="8"/>
      <c r="FCX23" s="8"/>
      <c r="FCY23" s="8"/>
      <c r="FCZ23" s="28"/>
      <c r="FDA23" s="7"/>
      <c r="FDB23" s="8"/>
      <c r="FDC23" s="7"/>
      <c r="FDD23" s="7"/>
      <c r="FDE23" s="6"/>
      <c r="FDF23" s="7"/>
      <c r="FDG23" s="8"/>
      <c r="FDH23" s="6"/>
      <c r="FDI23" s="8"/>
      <c r="FDJ23" s="6"/>
      <c r="FDK23" s="8"/>
      <c r="FDL23" s="8"/>
      <c r="FDM23" s="6"/>
      <c r="FDN23" s="6"/>
      <c r="FDO23" s="8"/>
      <c r="FDP23" s="8"/>
      <c r="FDQ23" s="8"/>
      <c r="FDR23" s="28"/>
      <c r="FDS23" s="7"/>
      <c r="FDT23" s="8"/>
      <c r="FDU23" s="7"/>
      <c r="FDV23" s="7"/>
      <c r="FDW23" s="6"/>
      <c r="FDX23" s="7"/>
      <c r="FDY23" s="8"/>
      <c r="FDZ23" s="6"/>
      <c r="FEA23" s="8"/>
      <c r="FEB23" s="6"/>
      <c r="FEC23" s="8"/>
      <c r="FED23" s="8"/>
      <c r="FEE23" s="6"/>
      <c r="FEF23" s="6"/>
      <c r="FEG23" s="8"/>
      <c r="FEH23" s="8"/>
      <c r="FEI23" s="8"/>
      <c r="FEJ23" s="28"/>
      <c r="FEK23" s="7"/>
      <c r="FEL23" s="8"/>
      <c r="FEM23" s="7"/>
      <c r="FEN23" s="7"/>
      <c r="FEO23" s="6"/>
      <c r="FEP23" s="7"/>
      <c r="FEQ23" s="8"/>
      <c r="FER23" s="6"/>
      <c r="FES23" s="8"/>
      <c r="FET23" s="6"/>
      <c r="FEU23" s="8"/>
      <c r="FEV23" s="8"/>
      <c r="FEW23" s="6"/>
      <c r="FEX23" s="6"/>
      <c r="FEY23" s="8"/>
      <c r="FEZ23" s="8"/>
      <c r="FFA23" s="8"/>
      <c r="FFB23" s="28"/>
      <c r="FFC23" s="7"/>
      <c r="FFD23" s="8"/>
      <c r="FFE23" s="7"/>
      <c r="FFF23" s="7"/>
      <c r="FFG23" s="6"/>
      <c r="FFH23" s="7"/>
      <c r="FFI23" s="8"/>
      <c r="FFJ23" s="6"/>
      <c r="FFK23" s="8"/>
      <c r="FFL23" s="6"/>
      <c r="FFM23" s="8"/>
      <c r="FFN23" s="8"/>
      <c r="FFO23" s="6"/>
      <c r="FFP23" s="6"/>
      <c r="FFQ23" s="8"/>
      <c r="FFR23" s="8"/>
      <c r="FFS23" s="8"/>
      <c r="FFT23" s="28"/>
      <c r="FFU23" s="7"/>
      <c r="FFV23" s="8"/>
      <c r="FFW23" s="7"/>
      <c r="FFX23" s="7"/>
      <c r="FFY23" s="6"/>
      <c r="FFZ23" s="7"/>
      <c r="FGA23" s="8"/>
      <c r="FGB23" s="6"/>
      <c r="FGC23" s="8"/>
      <c r="FGD23" s="6"/>
      <c r="FGE23" s="8"/>
      <c r="FGF23" s="8"/>
      <c r="FGG23" s="6"/>
      <c r="FGH23" s="6"/>
      <c r="FGI23" s="8"/>
      <c r="FGJ23" s="8"/>
      <c r="FGK23" s="8"/>
      <c r="FGL23" s="28"/>
      <c r="FGM23" s="7"/>
      <c r="FGN23" s="8"/>
      <c r="FGO23" s="7"/>
      <c r="FGP23" s="7"/>
      <c r="FGQ23" s="6"/>
      <c r="FGR23" s="7"/>
      <c r="FGS23" s="8"/>
      <c r="FGT23" s="6"/>
      <c r="FGU23" s="8"/>
      <c r="FGV23" s="6"/>
      <c r="FGW23" s="8"/>
      <c r="FGX23" s="8"/>
      <c r="FGY23" s="6"/>
      <c r="FGZ23" s="6"/>
      <c r="FHA23" s="8"/>
      <c r="FHB23" s="8"/>
      <c r="FHC23" s="8"/>
      <c r="FHD23" s="28"/>
      <c r="FHE23" s="7"/>
      <c r="FHF23" s="8"/>
      <c r="FHG23" s="7"/>
      <c r="FHH23" s="7"/>
      <c r="FHI23" s="6"/>
      <c r="FHJ23" s="7"/>
      <c r="FHK23" s="8"/>
      <c r="FHL23" s="6"/>
      <c r="FHM23" s="8"/>
      <c r="FHN23" s="6"/>
      <c r="FHO23" s="8"/>
      <c r="FHP23" s="8"/>
      <c r="FHQ23" s="6"/>
      <c r="FHR23" s="6"/>
      <c r="FHS23" s="8"/>
      <c r="FHT23" s="8"/>
      <c r="FHU23" s="8"/>
      <c r="FHV23" s="28"/>
      <c r="FHW23" s="7"/>
      <c r="FHX23" s="8"/>
      <c r="FHY23" s="7"/>
      <c r="FHZ23" s="7"/>
      <c r="FIA23" s="6"/>
      <c r="FIB23" s="7"/>
      <c r="FIC23" s="8"/>
      <c r="FID23" s="6"/>
      <c r="FIE23" s="8"/>
      <c r="FIF23" s="6"/>
      <c r="FIG23" s="8"/>
      <c r="FIH23" s="8"/>
      <c r="FII23" s="6"/>
      <c r="FIJ23" s="6"/>
      <c r="FIK23" s="8"/>
      <c r="FIL23" s="8"/>
      <c r="FIM23" s="8"/>
      <c r="FIN23" s="28"/>
      <c r="FIO23" s="7"/>
      <c r="FIP23" s="8"/>
      <c r="FIQ23" s="7"/>
      <c r="FIR23" s="7"/>
      <c r="FIS23" s="6"/>
      <c r="FIT23" s="7"/>
      <c r="FIU23" s="8"/>
      <c r="FIV23" s="6"/>
      <c r="FIW23" s="8"/>
      <c r="FIX23" s="6"/>
      <c r="FIY23" s="8"/>
      <c r="FIZ23" s="8"/>
      <c r="FJA23" s="6"/>
      <c r="FJB23" s="6"/>
      <c r="FJC23" s="8"/>
      <c r="FJD23" s="8"/>
      <c r="FJE23" s="8"/>
      <c r="FJF23" s="28"/>
      <c r="FJG23" s="7"/>
      <c r="FJH23" s="8"/>
      <c r="FJI23" s="7"/>
      <c r="FJJ23" s="7"/>
      <c r="FJK23" s="6"/>
      <c r="FJL23" s="7"/>
      <c r="FJM23" s="8"/>
      <c r="FJN23" s="6"/>
      <c r="FJO23" s="8"/>
      <c r="FJP23" s="6"/>
      <c r="FJQ23" s="8"/>
      <c r="FJR23" s="8"/>
      <c r="FJS23" s="6"/>
      <c r="FJT23" s="6"/>
      <c r="FJU23" s="8"/>
      <c r="FJV23" s="8"/>
      <c r="FJW23" s="8"/>
      <c r="FJX23" s="28"/>
      <c r="FJY23" s="7"/>
      <c r="FJZ23" s="8"/>
      <c r="FKA23" s="7"/>
      <c r="FKB23" s="7"/>
      <c r="FKC23" s="6"/>
      <c r="FKD23" s="7"/>
      <c r="FKE23" s="8"/>
      <c r="FKF23" s="6"/>
      <c r="FKG23" s="8"/>
      <c r="FKH23" s="6"/>
      <c r="FKI23" s="8"/>
      <c r="FKJ23" s="8"/>
      <c r="FKK23" s="6"/>
      <c r="FKL23" s="6"/>
      <c r="FKM23" s="8"/>
      <c r="FKN23" s="8"/>
      <c r="FKO23" s="8"/>
      <c r="FKP23" s="28"/>
      <c r="FKQ23" s="7"/>
      <c r="FKR23" s="8"/>
      <c r="FKS23" s="7"/>
      <c r="FKT23" s="7"/>
      <c r="FKU23" s="6"/>
      <c r="FKV23" s="7"/>
      <c r="FKW23" s="8"/>
      <c r="FKX23" s="6"/>
      <c r="FKY23" s="8"/>
      <c r="FKZ23" s="6"/>
      <c r="FLA23" s="8"/>
      <c r="FLB23" s="8"/>
      <c r="FLC23" s="6"/>
      <c r="FLD23" s="6"/>
      <c r="FLE23" s="8"/>
      <c r="FLF23" s="8"/>
      <c r="FLG23" s="8"/>
      <c r="FLH23" s="28"/>
      <c r="FLI23" s="7"/>
      <c r="FLJ23" s="8"/>
      <c r="FLK23" s="7"/>
      <c r="FLL23" s="7"/>
      <c r="FLM23" s="6"/>
      <c r="FLN23" s="7"/>
      <c r="FLO23" s="8"/>
      <c r="FLP23" s="6"/>
      <c r="FLQ23" s="8"/>
      <c r="FLR23" s="6"/>
      <c r="FLS23" s="8"/>
      <c r="FLT23" s="8"/>
      <c r="FLU23" s="6"/>
      <c r="FLV23" s="6"/>
      <c r="FLW23" s="8"/>
      <c r="FLX23" s="8"/>
      <c r="FLY23" s="8"/>
      <c r="FLZ23" s="28"/>
      <c r="FMA23" s="7"/>
      <c r="FMB23" s="8"/>
      <c r="FMC23" s="7"/>
      <c r="FMD23" s="7"/>
      <c r="FME23" s="6"/>
      <c r="FMF23" s="7"/>
      <c r="FMG23" s="8"/>
      <c r="FMH23" s="6"/>
      <c r="FMI23" s="8"/>
      <c r="FMJ23" s="6"/>
      <c r="FMK23" s="8"/>
      <c r="FML23" s="8"/>
      <c r="FMM23" s="6"/>
      <c r="FMN23" s="6"/>
      <c r="FMO23" s="8"/>
      <c r="FMP23" s="8"/>
      <c r="FMQ23" s="8"/>
      <c r="FMR23" s="28"/>
      <c r="FMS23" s="7"/>
      <c r="FMT23" s="8"/>
      <c r="FMU23" s="7"/>
      <c r="FMV23" s="7"/>
      <c r="FMW23" s="6"/>
      <c r="FMX23" s="7"/>
      <c r="FMY23" s="8"/>
      <c r="FMZ23" s="6"/>
      <c r="FNA23" s="8"/>
      <c r="FNB23" s="6"/>
      <c r="FNC23" s="8"/>
      <c r="FND23" s="8"/>
      <c r="FNE23" s="6"/>
      <c r="FNF23" s="6"/>
      <c r="FNG23" s="8"/>
      <c r="FNH23" s="8"/>
      <c r="FNI23" s="8"/>
      <c r="FNJ23" s="28"/>
      <c r="FNK23" s="7"/>
      <c r="FNL23" s="8"/>
      <c r="FNM23" s="7"/>
      <c r="FNN23" s="7"/>
      <c r="FNO23" s="6"/>
      <c r="FNP23" s="7"/>
      <c r="FNQ23" s="8"/>
      <c r="FNR23" s="6"/>
      <c r="FNS23" s="8"/>
      <c r="FNT23" s="6"/>
      <c r="FNU23" s="8"/>
      <c r="FNV23" s="8"/>
      <c r="FNW23" s="6"/>
      <c r="FNX23" s="6"/>
      <c r="FNY23" s="8"/>
      <c r="FNZ23" s="8"/>
      <c r="FOA23" s="8"/>
      <c r="FOB23" s="28"/>
      <c r="FOC23" s="7"/>
      <c r="FOD23" s="8"/>
      <c r="FOE23" s="7"/>
      <c r="FOF23" s="7"/>
      <c r="FOG23" s="6"/>
      <c r="FOH23" s="7"/>
      <c r="FOI23" s="8"/>
      <c r="FOJ23" s="6"/>
      <c r="FOK23" s="8"/>
      <c r="FOL23" s="6"/>
      <c r="FOM23" s="8"/>
      <c r="FON23" s="8"/>
      <c r="FOO23" s="6"/>
      <c r="FOP23" s="6"/>
      <c r="FOQ23" s="8"/>
      <c r="FOR23" s="8"/>
      <c r="FOS23" s="8"/>
      <c r="FOT23" s="28"/>
      <c r="FOU23" s="7"/>
      <c r="FOV23" s="8"/>
      <c r="FOW23" s="7"/>
      <c r="FOX23" s="7"/>
      <c r="FOY23" s="6"/>
      <c r="FOZ23" s="7"/>
      <c r="FPA23" s="8"/>
      <c r="FPB23" s="6"/>
      <c r="FPC23" s="8"/>
      <c r="FPD23" s="6"/>
      <c r="FPE23" s="8"/>
      <c r="FPF23" s="8"/>
      <c r="FPG23" s="6"/>
      <c r="FPH23" s="6"/>
      <c r="FPI23" s="8"/>
      <c r="FPJ23" s="8"/>
      <c r="FPK23" s="8"/>
      <c r="FPL23" s="28"/>
      <c r="FPM23" s="7"/>
      <c r="FPN23" s="8"/>
      <c r="FPO23" s="7"/>
      <c r="FPP23" s="7"/>
      <c r="FPQ23" s="6"/>
      <c r="FPR23" s="7"/>
      <c r="FPS23" s="8"/>
      <c r="FPT23" s="6"/>
      <c r="FPU23" s="8"/>
      <c r="FPV23" s="6"/>
      <c r="FPW23" s="8"/>
      <c r="FPX23" s="8"/>
      <c r="FPY23" s="6"/>
      <c r="FPZ23" s="6"/>
      <c r="FQA23" s="8"/>
      <c r="FQB23" s="8"/>
      <c r="FQC23" s="8"/>
      <c r="FQD23" s="28"/>
      <c r="FQE23" s="7"/>
      <c r="FQF23" s="8"/>
      <c r="FQG23" s="7"/>
      <c r="FQH23" s="7"/>
      <c r="FQI23" s="6"/>
      <c r="FQJ23" s="7"/>
      <c r="FQK23" s="8"/>
      <c r="FQL23" s="6"/>
      <c r="FQM23" s="8"/>
      <c r="FQN23" s="6"/>
      <c r="FQO23" s="8"/>
      <c r="FQP23" s="8"/>
      <c r="FQQ23" s="6"/>
      <c r="FQR23" s="6"/>
      <c r="FQS23" s="8"/>
      <c r="FQT23" s="8"/>
      <c r="FQU23" s="8"/>
      <c r="FQV23" s="28"/>
      <c r="FQW23" s="7"/>
      <c r="FQX23" s="8"/>
      <c r="FQY23" s="7"/>
      <c r="FQZ23" s="7"/>
      <c r="FRA23" s="6"/>
      <c r="FRB23" s="7"/>
      <c r="FRC23" s="8"/>
      <c r="FRD23" s="6"/>
      <c r="FRE23" s="8"/>
      <c r="FRF23" s="6"/>
      <c r="FRG23" s="8"/>
      <c r="FRH23" s="8"/>
      <c r="FRI23" s="6"/>
      <c r="FRJ23" s="6"/>
      <c r="FRK23" s="8"/>
      <c r="FRL23" s="8"/>
      <c r="FRM23" s="8"/>
      <c r="FRN23" s="28"/>
      <c r="FRO23" s="7"/>
      <c r="FRP23" s="8"/>
      <c r="FRQ23" s="7"/>
      <c r="FRR23" s="7"/>
      <c r="FRS23" s="6"/>
      <c r="FRT23" s="7"/>
      <c r="FRU23" s="8"/>
      <c r="FRV23" s="6"/>
      <c r="FRW23" s="8"/>
      <c r="FRX23" s="6"/>
      <c r="FRY23" s="8"/>
      <c r="FRZ23" s="8"/>
      <c r="FSA23" s="6"/>
      <c r="FSB23" s="6"/>
      <c r="FSC23" s="8"/>
      <c r="FSD23" s="8"/>
      <c r="FSE23" s="8"/>
      <c r="FSF23" s="28"/>
      <c r="FSG23" s="7"/>
      <c r="FSH23" s="8"/>
      <c r="FSI23" s="7"/>
      <c r="FSJ23" s="7"/>
      <c r="FSK23" s="6"/>
      <c r="FSL23" s="7"/>
      <c r="FSM23" s="8"/>
      <c r="FSN23" s="6"/>
      <c r="FSO23" s="8"/>
      <c r="FSP23" s="6"/>
      <c r="FSQ23" s="8"/>
      <c r="FSR23" s="8"/>
      <c r="FSS23" s="6"/>
      <c r="FST23" s="6"/>
      <c r="FSU23" s="8"/>
      <c r="FSV23" s="8"/>
      <c r="FSW23" s="8"/>
      <c r="FSX23" s="28"/>
      <c r="FSY23" s="7"/>
      <c r="FSZ23" s="8"/>
      <c r="FTA23" s="7"/>
      <c r="FTB23" s="7"/>
      <c r="FTC23" s="6"/>
      <c r="FTD23" s="7"/>
      <c r="FTE23" s="8"/>
      <c r="FTF23" s="6"/>
      <c r="FTG23" s="8"/>
      <c r="FTH23" s="6"/>
      <c r="FTI23" s="8"/>
      <c r="FTJ23" s="8"/>
      <c r="FTK23" s="6"/>
      <c r="FTL23" s="6"/>
      <c r="FTM23" s="8"/>
      <c r="FTN23" s="8"/>
      <c r="FTO23" s="8"/>
      <c r="FTP23" s="28"/>
      <c r="FTQ23" s="7"/>
      <c r="FTR23" s="8"/>
      <c r="FTS23" s="7"/>
      <c r="FTT23" s="7"/>
      <c r="FTU23" s="6"/>
      <c r="FTV23" s="7"/>
      <c r="FTW23" s="8"/>
      <c r="FTX23" s="6"/>
      <c r="FTY23" s="8"/>
      <c r="FTZ23" s="6"/>
      <c r="FUA23" s="8"/>
      <c r="FUB23" s="8"/>
      <c r="FUC23" s="6"/>
      <c r="FUD23" s="6"/>
      <c r="FUE23" s="8"/>
      <c r="FUF23" s="8"/>
      <c r="FUG23" s="8"/>
      <c r="FUH23" s="28"/>
      <c r="FUI23" s="7"/>
      <c r="FUJ23" s="8"/>
      <c r="FUK23" s="7"/>
      <c r="FUL23" s="7"/>
      <c r="FUM23" s="6"/>
      <c r="FUN23" s="7"/>
      <c r="FUO23" s="8"/>
      <c r="FUP23" s="6"/>
      <c r="FUQ23" s="8"/>
      <c r="FUR23" s="6"/>
      <c r="FUS23" s="8"/>
      <c r="FUT23" s="8"/>
      <c r="FUU23" s="6"/>
      <c r="FUV23" s="6"/>
      <c r="FUW23" s="8"/>
      <c r="FUX23" s="8"/>
      <c r="FUY23" s="8"/>
      <c r="FUZ23" s="28"/>
      <c r="FVA23" s="7"/>
      <c r="FVB23" s="8"/>
      <c r="FVC23" s="7"/>
      <c r="FVD23" s="7"/>
      <c r="FVE23" s="6"/>
      <c r="FVF23" s="7"/>
      <c r="FVG23" s="8"/>
      <c r="FVH23" s="6"/>
      <c r="FVI23" s="8"/>
      <c r="FVJ23" s="6"/>
      <c r="FVK23" s="8"/>
      <c r="FVL23" s="8"/>
      <c r="FVM23" s="6"/>
      <c r="FVN23" s="6"/>
      <c r="FVO23" s="8"/>
      <c r="FVP23" s="8"/>
      <c r="FVQ23" s="8"/>
      <c r="FVR23" s="28"/>
      <c r="FVS23" s="7"/>
      <c r="FVT23" s="8"/>
      <c r="FVU23" s="7"/>
      <c r="FVV23" s="7"/>
      <c r="FVW23" s="6"/>
      <c r="FVX23" s="7"/>
      <c r="FVY23" s="8"/>
      <c r="FVZ23" s="6"/>
      <c r="FWA23" s="8"/>
      <c r="FWB23" s="6"/>
      <c r="FWC23" s="8"/>
      <c r="FWD23" s="8"/>
      <c r="FWE23" s="6"/>
      <c r="FWF23" s="6"/>
      <c r="FWG23" s="8"/>
      <c r="FWH23" s="8"/>
      <c r="FWI23" s="8"/>
      <c r="FWJ23" s="28"/>
      <c r="FWK23" s="7"/>
      <c r="FWL23" s="8"/>
      <c r="FWM23" s="7"/>
      <c r="FWN23" s="7"/>
      <c r="FWO23" s="6"/>
      <c r="FWP23" s="7"/>
      <c r="FWQ23" s="8"/>
      <c r="FWR23" s="6"/>
      <c r="FWS23" s="8"/>
      <c r="FWT23" s="6"/>
      <c r="FWU23" s="8"/>
      <c r="FWV23" s="8"/>
      <c r="FWW23" s="6"/>
      <c r="FWX23" s="6"/>
      <c r="FWY23" s="8"/>
      <c r="FWZ23" s="8"/>
      <c r="FXA23" s="8"/>
      <c r="FXB23" s="28"/>
      <c r="FXC23" s="7"/>
      <c r="FXD23" s="8"/>
      <c r="FXE23" s="7"/>
      <c r="FXF23" s="7"/>
      <c r="FXG23" s="6"/>
      <c r="FXH23" s="7"/>
      <c r="FXI23" s="8"/>
      <c r="FXJ23" s="6"/>
      <c r="FXK23" s="8"/>
      <c r="FXL23" s="6"/>
      <c r="FXM23" s="8"/>
      <c r="FXN23" s="8"/>
      <c r="FXO23" s="6"/>
      <c r="FXP23" s="6"/>
      <c r="FXQ23" s="8"/>
      <c r="FXR23" s="8"/>
      <c r="FXS23" s="8"/>
      <c r="FXT23" s="28"/>
      <c r="FXU23" s="7"/>
      <c r="FXV23" s="8"/>
      <c r="FXW23" s="7"/>
      <c r="FXX23" s="7"/>
      <c r="FXY23" s="6"/>
      <c r="FXZ23" s="7"/>
      <c r="FYA23" s="8"/>
      <c r="FYB23" s="6"/>
      <c r="FYC23" s="8"/>
      <c r="FYD23" s="6"/>
      <c r="FYE23" s="8"/>
      <c r="FYF23" s="8"/>
      <c r="FYG23" s="6"/>
      <c r="FYH23" s="6"/>
      <c r="FYI23" s="8"/>
      <c r="FYJ23" s="8"/>
      <c r="FYK23" s="8"/>
      <c r="FYL23" s="28"/>
      <c r="FYM23" s="7"/>
      <c r="FYN23" s="8"/>
      <c r="FYO23" s="7"/>
      <c r="FYP23" s="7"/>
      <c r="FYQ23" s="6"/>
      <c r="FYR23" s="7"/>
      <c r="FYS23" s="8"/>
      <c r="FYT23" s="6"/>
      <c r="FYU23" s="8"/>
      <c r="FYV23" s="6"/>
      <c r="FYW23" s="8"/>
      <c r="FYX23" s="8"/>
      <c r="FYY23" s="6"/>
      <c r="FYZ23" s="6"/>
      <c r="FZA23" s="8"/>
      <c r="FZB23" s="8"/>
      <c r="FZC23" s="8"/>
      <c r="FZD23" s="28"/>
      <c r="FZE23" s="7"/>
      <c r="FZF23" s="8"/>
      <c r="FZG23" s="7"/>
      <c r="FZH23" s="7"/>
      <c r="FZI23" s="6"/>
      <c r="FZJ23" s="7"/>
      <c r="FZK23" s="8"/>
      <c r="FZL23" s="6"/>
      <c r="FZM23" s="8"/>
      <c r="FZN23" s="6"/>
      <c r="FZO23" s="8"/>
      <c r="FZP23" s="8"/>
      <c r="FZQ23" s="6"/>
      <c r="FZR23" s="6"/>
      <c r="FZS23" s="8"/>
      <c r="FZT23" s="8"/>
      <c r="FZU23" s="8"/>
      <c r="FZV23" s="28"/>
      <c r="FZW23" s="7"/>
      <c r="FZX23" s="8"/>
      <c r="FZY23" s="7"/>
      <c r="FZZ23" s="7"/>
      <c r="GAA23" s="6"/>
      <c r="GAB23" s="7"/>
      <c r="GAC23" s="8"/>
      <c r="GAD23" s="6"/>
      <c r="GAE23" s="8"/>
      <c r="GAF23" s="6"/>
      <c r="GAG23" s="8"/>
      <c r="GAH23" s="8"/>
      <c r="GAI23" s="6"/>
      <c r="GAJ23" s="6"/>
      <c r="GAK23" s="8"/>
      <c r="GAL23" s="8"/>
      <c r="GAM23" s="8"/>
      <c r="GAN23" s="28"/>
      <c r="GAO23" s="7"/>
      <c r="GAP23" s="8"/>
      <c r="GAQ23" s="7"/>
      <c r="GAR23" s="7"/>
      <c r="GAS23" s="6"/>
      <c r="GAT23" s="7"/>
      <c r="GAU23" s="8"/>
      <c r="GAV23" s="6"/>
      <c r="GAW23" s="8"/>
      <c r="GAX23" s="6"/>
      <c r="GAY23" s="8"/>
      <c r="GAZ23" s="8"/>
      <c r="GBA23" s="6"/>
      <c r="GBB23" s="6"/>
      <c r="GBC23" s="8"/>
      <c r="GBD23" s="8"/>
      <c r="GBE23" s="8"/>
      <c r="GBF23" s="28"/>
      <c r="GBG23" s="7"/>
      <c r="GBH23" s="8"/>
      <c r="GBI23" s="7"/>
      <c r="GBJ23" s="7"/>
      <c r="GBK23" s="6"/>
      <c r="GBL23" s="7"/>
      <c r="GBM23" s="8"/>
      <c r="GBN23" s="6"/>
      <c r="GBO23" s="8"/>
      <c r="GBP23" s="6"/>
      <c r="GBQ23" s="8"/>
      <c r="GBR23" s="8"/>
      <c r="GBS23" s="6"/>
      <c r="GBT23" s="6"/>
      <c r="GBU23" s="8"/>
      <c r="GBV23" s="8"/>
      <c r="GBW23" s="8"/>
      <c r="GBX23" s="28"/>
      <c r="GBY23" s="7"/>
      <c r="GBZ23" s="8"/>
      <c r="GCA23" s="7"/>
      <c r="GCB23" s="7"/>
      <c r="GCC23" s="6"/>
      <c r="GCD23" s="7"/>
      <c r="GCE23" s="8"/>
      <c r="GCF23" s="6"/>
      <c r="GCG23" s="8"/>
      <c r="GCH23" s="6"/>
      <c r="GCI23" s="8"/>
      <c r="GCJ23" s="8"/>
      <c r="GCK23" s="6"/>
      <c r="GCL23" s="6"/>
      <c r="GCM23" s="8"/>
      <c r="GCN23" s="8"/>
      <c r="GCO23" s="8"/>
      <c r="GCP23" s="28"/>
      <c r="GCQ23" s="7"/>
      <c r="GCR23" s="8"/>
      <c r="GCS23" s="7"/>
      <c r="GCT23" s="7"/>
      <c r="GCU23" s="6"/>
      <c r="GCV23" s="7"/>
      <c r="GCW23" s="8"/>
      <c r="GCX23" s="6"/>
      <c r="GCY23" s="8"/>
      <c r="GCZ23" s="6"/>
      <c r="GDA23" s="8"/>
      <c r="GDB23" s="8"/>
      <c r="GDC23" s="6"/>
      <c r="GDD23" s="6"/>
      <c r="GDE23" s="8"/>
      <c r="GDF23" s="8"/>
      <c r="GDG23" s="8"/>
      <c r="GDH23" s="28"/>
      <c r="GDI23" s="7"/>
      <c r="GDJ23" s="8"/>
      <c r="GDK23" s="7"/>
      <c r="GDL23" s="7"/>
      <c r="GDM23" s="6"/>
      <c r="GDN23" s="7"/>
      <c r="GDO23" s="8"/>
      <c r="GDP23" s="6"/>
      <c r="GDQ23" s="8"/>
      <c r="GDR23" s="6"/>
      <c r="GDS23" s="8"/>
      <c r="GDT23" s="8"/>
      <c r="GDU23" s="6"/>
      <c r="GDV23" s="6"/>
      <c r="GDW23" s="8"/>
      <c r="GDX23" s="8"/>
      <c r="GDY23" s="8"/>
      <c r="GDZ23" s="28"/>
      <c r="GEA23" s="7"/>
      <c r="GEB23" s="8"/>
      <c r="GEC23" s="7"/>
      <c r="GED23" s="7"/>
      <c r="GEE23" s="6"/>
      <c r="GEF23" s="7"/>
      <c r="GEG23" s="8"/>
      <c r="GEH23" s="6"/>
      <c r="GEI23" s="8"/>
      <c r="GEJ23" s="6"/>
      <c r="GEK23" s="8"/>
      <c r="GEL23" s="8"/>
      <c r="GEM23" s="6"/>
      <c r="GEN23" s="6"/>
      <c r="GEO23" s="8"/>
      <c r="GEP23" s="8"/>
      <c r="GEQ23" s="8"/>
      <c r="GER23" s="28"/>
      <c r="GES23" s="7"/>
      <c r="GET23" s="8"/>
      <c r="GEU23" s="7"/>
      <c r="GEV23" s="7"/>
      <c r="GEW23" s="6"/>
      <c r="GEX23" s="7"/>
      <c r="GEY23" s="8"/>
      <c r="GEZ23" s="6"/>
      <c r="GFA23" s="8"/>
      <c r="GFB23" s="6"/>
      <c r="GFC23" s="8"/>
      <c r="GFD23" s="8"/>
      <c r="GFE23" s="6"/>
      <c r="GFF23" s="6"/>
      <c r="GFG23" s="8"/>
      <c r="GFH23" s="8"/>
      <c r="GFI23" s="8"/>
      <c r="GFJ23" s="28"/>
      <c r="GFK23" s="7"/>
      <c r="GFL23" s="8"/>
      <c r="GFM23" s="7"/>
      <c r="GFN23" s="7"/>
      <c r="GFO23" s="6"/>
      <c r="GFP23" s="7"/>
      <c r="GFQ23" s="8"/>
      <c r="GFR23" s="6"/>
      <c r="GFS23" s="8"/>
      <c r="GFT23" s="6"/>
      <c r="GFU23" s="8"/>
      <c r="GFV23" s="8"/>
      <c r="GFW23" s="6"/>
      <c r="GFX23" s="6"/>
      <c r="GFY23" s="8"/>
      <c r="GFZ23" s="8"/>
      <c r="GGA23" s="8"/>
      <c r="GGB23" s="28"/>
      <c r="GGC23" s="7"/>
      <c r="GGD23" s="8"/>
      <c r="GGE23" s="7"/>
      <c r="GGF23" s="7"/>
      <c r="GGG23" s="6"/>
      <c r="GGH23" s="7"/>
      <c r="GGI23" s="8"/>
      <c r="GGJ23" s="6"/>
      <c r="GGK23" s="8"/>
      <c r="GGL23" s="6"/>
      <c r="GGM23" s="8"/>
      <c r="GGN23" s="8"/>
      <c r="GGO23" s="6"/>
      <c r="GGP23" s="6"/>
      <c r="GGQ23" s="8"/>
      <c r="GGR23" s="8"/>
      <c r="GGS23" s="8"/>
      <c r="GGT23" s="28"/>
      <c r="GGU23" s="7"/>
      <c r="GGV23" s="8"/>
      <c r="GGW23" s="7"/>
      <c r="GGX23" s="7"/>
      <c r="GGY23" s="6"/>
      <c r="GGZ23" s="7"/>
      <c r="GHA23" s="8"/>
      <c r="GHB23" s="6"/>
      <c r="GHC23" s="8"/>
      <c r="GHD23" s="6"/>
      <c r="GHE23" s="8"/>
      <c r="GHF23" s="8"/>
      <c r="GHG23" s="6"/>
      <c r="GHH23" s="6"/>
      <c r="GHI23" s="8"/>
      <c r="GHJ23" s="8"/>
      <c r="GHK23" s="8"/>
      <c r="GHL23" s="28"/>
      <c r="GHM23" s="7"/>
      <c r="GHN23" s="8"/>
      <c r="GHO23" s="7"/>
      <c r="GHP23" s="7"/>
      <c r="GHQ23" s="6"/>
      <c r="GHR23" s="7"/>
      <c r="GHS23" s="8"/>
      <c r="GHT23" s="6"/>
      <c r="GHU23" s="8"/>
      <c r="GHV23" s="6"/>
      <c r="GHW23" s="8"/>
      <c r="GHX23" s="8"/>
      <c r="GHY23" s="6"/>
      <c r="GHZ23" s="6"/>
      <c r="GIA23" s="8"/>
      <c r="GIB23" s="8"/>
      <c r="GIC23" s="8"/>
      <c r="GID23" s="28"/>
      <c r="GIE23" s="7"/>
      <c r="GIF23" s="8"/>
      <c r="GIG23" s="7"/>
      <c r="GIH23" s="7"/>
      <c r="GII23" s="6"/>
      <c r="GIJ23" s="7"/>
      <c r="GIK23" s="8"/>
      <c r="GIL23" s="6"/>
      <c r="GIM23" s="8"/>
      <c r="GIN23" s="6"/>
      <c r="GIO23" s="8"/>
      <c r="GIP23" s="8"/>
      <c r="GIQ23" s="6"/>
      <c r="GIR23" s="6"/>
      <c r="GIS23" s="8"/>
      <c r="GIT23" s="8"/>
      <c r="GIU23" s="8"/>
      <c r="GIV23" s="28"/>
      <c r="GIW23" s="7"/>
      <c r="GIX23" s="8"/>
      <c r="GIY23" s="7"/>
      <c r="GIZ23" s="7"/>
      <c r="GJA23" s="6"/>
      <c r="GJB23" s="7"/>
      <c r="GJC23" s="8"/>
      <c r="GJD23" s="6"/>
      <c r="GJE23" s="8"/>
      <c r="GJF23" s="6"/>
      <c r="GJG23" s="8"/>
      <c r="GJH23" s="8"/>
      <c r="GJI23" s="6"/>
      <c r="GJJ23" s="6"/>
      <c r="GJK23" s="8"/>
      <c r="GJL23" s="8"/>
      <c r="GJM23" s="8"/>
      <c r="GJN23" s="28"/>
      <c r="GJO23" s="7"/>
      <c r="GJP23" s="8"/>
      <c r="GJQ23" s="7"/>
      <c r="GJR23" s="7"/>
      <c r="GJS23" s="6"/>
      <c r="GJT23" s="7"/>
      <c r="GJU23" s="8"/>
      <c r="GJV23" s="6"/>
      <c r="GJW23" s="8"/>
      <c r="GJX23" s="6"/>
      <c r="GJY23" s="8"/>
      <c r="GJZ23" s="8"/>
      <c r="GKA23" s="6"/>
      <c r="GKB23" s="6"/>
      <c r="GKC23" s="8"/>
      <c r="GKD23" s="8"/>
      <c r="GKE23" s="8"/>
      <c r="GKF23" s="28"/>
      <c r="GKG23" s="7"/>
      <c r="GKH23" s="8"/>
      <c r="GKI23" s="7"/>
      <c r="GKJ23" s="7"/>
      <c r="GKK23" s="6"/>
      <c r="GKL23" s="7"/>
      <c r="GKM23" s="8"/>
      <c r="GKN23" s="6"/>
      <c r="GKO23" s="8"/>
      <c r="GKP23" s="6"/>
      <c r="GKQ23" s="8"/>
      <c r="GKR23" s="8"/>
      <c r="GKS23" s="6"/>
      <c r="GKT23" s="6"/>
      <c r="GKU23" s="8"/>
      <c r="GKV23" s="8"/>
      <c r="GKW23" s="8"/>
      <c r="GKX23" s="28"/>
      <c r="GKY23" s="7"/>
      <c r="GKZ23" s="8"/>
      <c r="GLA23" s="7"/>
      <c r="GLB23" s="7"/>
      <c r="GLC23" s="6"/>
      <c r="GLD23" s="7"/>
      <c r="GLE23" s="8"/>
      <c r="GLF23" s="6"/>
      <c r="GLG23" s="8"/>
      <c r="GLH23" s="6"/>
      <c r="GLI23" s="8"/>
      <c r="GLJ23" s="8"/>
      <c r="GLK23" s="6"/>
      <c r="GLL23" s="6"/>
      <c r="GLM23" s="8"/>
      <c r="GLN23" s="8"/>
      <c r="GLO23" s="8"/>
      <c r="GLP23" s="28"/>
      <c r="GLQ23" s="7"/>
      <c r="GLR23" s="8"/>
      <c r="GLS23" s="7"/>
      <c r="GLT23" s="7"/>
      <c r="GLU23" s="6"/>
      <c r="GLV23" s="7"/>
      <c r="GLW23" s="8"/>
      <c r="GLX23" s="6"/>
      <c r="GLY23" s="8"/>
      <c r="GLZ23" s="6"/>
      <c r="GMA23" s="8"/>
      <c r="GMB23" s="8"/>
      <c r="GMC23" s="6"/>
      <c r="GMD23" s="6"/>
      <c r="GME23" s="8"/>
      <c r="GMF23" s="8"/>
      <c r="GMG23" s="8"/>
      <c r="GMH23" s="28"/>
      <c r="GMI23" s="7"/>
      <c r="GMJ23" s="8"/>
      <c r="GMK23" s="7"/>
      <c r="GML23" s="7"/>
      <c r="GMM23" s="6"/>
      <c r="GMN23" s="7"/>
      <c r="GMO23" s="8"/>
      <c r="GMP23" s="6"/>
      <c r="GMQ23" s="8"/>
      <c r="GMR23" s="6"/>
      <c r="GMS23" s="8"/>
      <c r="GMT23" s="8"/>
      <c r="GMU23" s="6"/>
      <c r="GMV23" s="6"/>
      <c r="GMW23" s="8"/>
      <c r="GMX23" s="8"/>
      <c r="GMY23" s="8"/>
      <c r="GMZ23" s="28"/>
      <c r="GNA23" s="7"/>
      <c r="GNB23" s="8"/>
      <c r="GNC23" s="7"/>
      <c r="GND23" s="7"/>
      <c r="GNE23" s="6"/>
      <c r="GNF23" s="7"/>
      <c r="GNG23" s="8"/>
      <c r="GNH23" s="6"/>
      <c r="GNI23" s="8"/>
      <c r="GNJ23" s="6"/>
      <c r="GNK23" s="8"/>
      <c r="GNL23" s="8"/>
      <c r="GNM23" s="6"/>
      <c r="GNN23" s="6"/>
      <c r="GNO23" s="8"/>
      <c r="GNP23" s="8"/>
      <c r="GNQ23" s="8"/>
      <c r="GNR23" s="28"/>
      <c r="GNS23" s="7"/>
      <c r="GNT23" s="8"/>
      <c r="GNU23" s="7"/>
      <c r="GNV23" s="7"/>
      <c r="GNW23" s="6"/>
      <c r="GNX23" s="7"/>
      <c r="GNY23" s="8"/>
      <c r="GNZ23" s="6"/>
      <c r="GOA23" s="8"/>
      <c r="GOB23" s="6"/>
      <c r="GOC23" s="8"/>
      <c r="GOD23" s="8"/>
      <c r="GOE23" s="6"/>
      <c r="GOF23" s="6"/>
      <c r="GOG23" s="8"/>
      <c r="GOH23" s="8"/>
      <c r="GOI23" s="8"/>
      <c r="GOJ23" s="28"/>
      <c r="GOK23" s="7"/>
      <c r="GOL23" s="8"/>
      <c r="GOM23" s="7"/>
      <c r="GON23" s="7"/>
      <c r="GOO23" s="6"/>
      <c r="GOP23" s="7"/>
      <c r="GOQ23" s="8"/>
      <c r="GOR23" s="6"/>
      <c r="GOS23" s="8"/>
      <c r="GOT23" s="6"/>
      <c r="GOU23" s="8"/>
      <c r="GOV23" s="8"/>
      <c r="GOW23" s="6"/>
      <c r="GOX23" s="6"/>
      <c r="GOY23" s="8"/>
      <c r="GOZ23" s="8"/>
      <c r="GPA23" s="8"/>
      <c r="GPB23" s="28"/>
      <c r="GPC23" s="7"/>
      <c r="GPD23" s="8"/>
      <c r="GPE23" s="7"/>
      <c r="GPF23" s="7"/>
      <c r="GPG23" s="6"/>
      <c r="GPH23" s="7"/>
      <c r="GPI23" s="8"/>
      <c r="GPJ23" s="6"/>
      <c r="GPK23" s="8"/>
      <c r="GPL23" s="6"/>
      <c r="GPM23" s="8"/>
      <c r="GPN23" s="8"/>
      <c r="GPO23" s="6"/>
      <c r="GPP23" s="6"/>
      <c r="GPQ23" s="8"/>
      <c r="GPR23" s="8"/>
      <c r="GPS23" s="8"/>
      <c r="GPT23" s="28"/>
      <c r="GPU23" s="7"/>
      <c r="GPV23" s="8"/>
      <c r="GPW23" s="7"/>
      <c r="GPX23" s="7"/>
      <c r="GPY23" s="6"/>
      <c r="GPZ23" s="7"/>
      <c r="GQA23" s="8"/>
      <c r="GQB23" s="6"/>
      <c r="GQC23" s="8"/>
      <c r="GQD23" s="6"/>
      <c r="GQE23" s="8"/>
      <c r="GQF23" s="8"/>
      <c r="GQG23" s="6"/>
      <c r="GQH23" s="6"/>
      <c r="GQI23" s="8"/>
      <c r="GQJ23" s="8"/>
      <c r="GQK23" s="8"/>
      <c r="GQL23" s="28"/>
      <c r="GQM23" s="7"/>
      <c r="GQN23" s="8"/>
      <c r="GQO23" s="7"/>
      <c r="GQP23" s="7"/>
      <c r="GQQ23" s="6"/>
      <c r="GQR23" s="7"/>
      <c r="GQS23" s="8"/>
      <c r="GQT23" s="6"/>
      <c r="GQU23" s="8"/>
      <c r="GQV23" s="6"/>
      <c r="GQW23" s="8"/>
      <c r="GQX23" s="8"/>
      <c r="GQY23" s="6"/>
      <c r="GQZ23" s="6"/>
      <c r="GRA23" s="8"/>
      <c r="GRB23" s="8"/>
      <c r="GRC23" s="8"/>
      <c r="GRD23" s="28"/>
      <c r="GRE23" s="7"/>
      <c r="GRF23" s="8"/>
      <c r="GRG23" s="7"/>
      <c r="GRH23" s="7"/>
      <c r="GRI23" s="6"/>
      <c r="GRJ23" s="7"/>
      <c r="GRK23" s="8"/>
      <c r="GRL23" s="6"/>
      <c r="GRM23" s="8"/>
      <c r="GRN23" s="6"/>
      <c r="GRO23" s="8"/>
      <c r="GRP23" s="8"/>
      <c r="GRQ23" s="6"/>
      <c r="GRR23" s="6"/>
      <c r="GRS23" s="8"/>
      <c r="GRT23" s="8"/>
      <c r="GRU23" s="8"/>
      <c r="GRV23" s="28"/>
      <c r="GRW23" s="7"/>
      <c r="GRX23" s="8"/>
      <c r="GRY23" s="7"/>
      <c r="GRZ23" s="7"/>
      <c r="GSA23" s="6"/>
      <c r="GSB23" s="7"/>
      <c r="GSC23" s="8"/>
      <c r="GSD23" s="6"/>
      <c r="GSE23" s="8"/>
      <c r="GSF23" s="6"/>
      <c r="GSG23" s="8"/>
      <c r="GSH23" s="8"/>
      <c r="GSI23" s="6"/>
      <c r="GSJ23" s="6"/>
      <c r="GSK23" s="8"/>
      <c r="GSL23" s="8"/>
      <c r="GSM23" s="8"/>
      <c r="GSN23" s="28"/>
      <c r="GSO23" s="7"/>
      <c r="GSP23" s="8"/>
      <c r="GSQ23" s="7"/>
      <c r="GSR23" s="7"/>
      <c r="GSS23" s="6"/>
      <c r="GST23" s="7"/>
      <c r="GSU23" s="8"/>
      <c r="GSV23" s="6"/>
      <c r="GSW23" s="8"/>
      <c r="GSX23" s="6"/>
      <c r="GSY23" s="8"/>
      <c r="GSZ23" s="8"/>
      <c r="GTA23" s="6"/>
      <c r="GTB23" s="6"/>
      <c r="GTC23" s="8"/>
      <c r="GTD23" s="8"/>
      <c r="GTE23" s="8"/>
      <c r="GTF23" s="28"/>
      <c r="GTG23" s="7"/>
      <c r="GTH23" s="8"/>
      <c r="GTI23" s="7"/>
      <c r="GTJ23" s="7"/>
      <c r="GTK23" s="6"/>
      <c r="GTL23" s="7"/>
      <c r="GTM23" s="8"/>
      <c r="GTN23" s="6"/>
      <c r="GTO23" s="8"/>
      <c r="GTP23" s="6"/>
      <c r="GTQ23" s="8"/>
      <c r="GTR23" s="8"/>
      <c r="GTS23" s="6"/>
      <c r="GTT23" s="6"/>
      <c r="GTU23" s="8"/>
      <c r="GTV23" s="8"/>
      <c r="GTW23" s="8"/>
      <c r="GTX23" s="28"/>
      <c r="GTY23" s="7"/>
      <c r="GTZ23" s="8"/>
      <c r="GUA23" s="7"/>
      <c r="GUB23" s="7"/>
      <c r="GUC23" s="6"/>
      <c r="GUD23" s="7"/>
      <c r="GUE23" s="8"/>
      <c r="GUF23" s="6"/>
      <c r="GUG23" s="8"/>
      <c r="GUH23" s="6"/>
      <c r="GUI23" s="8"/>
      <c r="GUJ23" s="8"/>
      <c r="GUK23" s="6"/>
      <c r="GUL23" s="6"/>
      <c r="GUM23" s="8"/>
      <c r="GUN23" s="8"/>
      <c r="GUO23" s="8"/>
      <c r="GUP23" s="28"/>
      <c r="GUQ23" s="7"/>
      <c r="GUR23" s="8"/>
      <c r="GUS23" s="7"/>
      <c r="GUT23" s="7"/>
      <c r="GUU23" s="6"/>
      <c r="GUV23" s="7"/>
      <c r="GUW23" s="8"/>
      <c r="GUX23" s="6"/>
      <c r="GUY23" s="8"/>
      <c r="GUZ23" s="6"/>
      <c r="GVA23" s="8"/>
      <c r="GVB23" s="8"/>
      <c r="GVC23" s="6"/>
      <c r="GVD23" s="6"/>
      <c r="GVE23" s="8"/>
      <c r="GVF23" s="8"/>
      <c r="GVG23" s="8"/>
      <c r="GVH23" s="28"/>
      <c r="GVI23" s="7"/>
      <c r="GVJ23" s="8"/>
      <c r="GVK23" s="7"/>
      <c r="GVL23" s="7"/>
      <c r="GVM23" s="6"/>
      <c r="GVN23" s="7"/>
      <c r="GVO23" s="8"/>
      <c r="GVP23" s="6"/>
      <c r="GVQ23" s="8"/>
      <c r="GVR23" s="6"/>
      <c r="GVS23" s="8"/>
      <c r="GVT23" s="8"/>
      <c r="GVU23" s="6"/>
      <c r="GVV23" s="6"/>
      <c r="GVW23" s="8"/>
      <c r="GVX23" s="8"/>
      <c r="GVY23" s="8"/>
      <c r="GVZ23" s="28"/>
      <c r="GWA23" s="7"/>
      <c r="GWB23" s="8"/>
      <c r="GWC23" s="7"/>
      <c r="GWD23" s="7"/>
      <c r="GWE23" s="6"/>
      <c r="GWF23" s="7"/>
      <c r="GWG23" s="8"/>
      <c r="GWH23" s="6"/>
      <c r="GWI23" s="8"/>
      <c r="GWJ23" s="6"/>
      <c r="GWK23" s="8"/>
      <c r="GWL23" s="8"/>
      <c r="GWM23" s="6"/>
      <c r="GWN23" s="6"/>
      <c r="GWO23" s="8"/>
      <c r="GWP23" s="8"/>
      <c r="GWQ23" s="8"/>
      <c r="GWR23" s="28"/>
      <c r="GWS23" s="7"/>
      <c r="GWT23" s="8"/>
      <c r="GWU23" s="7"/>
      <c r="GWV23" s="7"/>
      <c r="GWW23" s="6"/>
      <c r="GWX23" s="7"/>
      <c r="GWY23" s="8"/>
      <c r="GWZ23" s="6"/>
      <c r="GXA23" s="8"/>
      <c r="GXB23" s="6"/>
      <c r="GXC23" s="8"/>
      <c r="GXD23" s="8"/>
      <c r="GXE23" s="6"/>
      <c r="GXF23" s="6"/>
      <c r="GXG23" s="8"/>
      <c r="GXH23" s="8"/>
      <c r="GXI23" s="8"/>
      <c r="GXJ23" s="28"/>
      <c r="GXK23" s="7"/>
      <c r="GXL23" s="8"/>
      <c r="GXM23" s="7"/>
      <c r="GXN23" s="7"/>
      <c r="GXO23" s="6"/>
      <c r="GXP23" s="7"/>
      <c r="GXQ23" s="8"/>
      <c r="GXR23" s="6"/>
      <c r="GXS23" s="8"/>
      <c r="GXT23" s="6"/>
      <c r="GXU23" s="8"/>
      <c r="GXV23" s="8"/>
      <c r="GXW23" s="6"/>
      <c r="GXX23" s="6"/>
      <c r="GXY23" s="8"/>
      <c r="GXZ23" s="8"/>
      <c r="GYA23" s="8"/>
      <c r="GYB23" s="28"/>
      <c r="GYC23" s="7"/>
      <c r="GYD23" s="8"/>
      <c r="GYE23" s="7"/>
      <c r="GYF23" s="7"/>
      <c r="GYG23" s="6"/>
      <c r="GYH23" s="7"/>
      <c r="GYI23" s="8"/>
      <c r="GYJ23" s="6"/>
      <c r="GYK23" s="8"/>
      <c r="GYL23" s="6"/>
      <c r="GYM23" s="8"/>
      <c r="GYN23" s="8"/>
      <c r="GYO23" s="6"/>
      <c r="GYP23" s="6"/>
      <c r="GYQ23" s="8"/>
      <c r="GYR23" s="8"/>
      <c r="GYS23" s="8"/>
      <c r="GYT23" s="28"/>
      <c r="GYU23" s="7"/>
      <c r="GYV23" s="8"/>
      <c r="GYW23" s="7"/>
      <c r="GYX23" s="7"/>
      <c r="GYY23" s="6"/>
      <c r="GYZ23" s="7"/>
      <c r="GZA23" s="8"/>
      <c r="GZB23" s="6"/>
      <c r="GZC23" s="8"/>
      <c r="GZD23" s="6"/>
      <c r="GZE23" s="8"/>
      <c r="GZF23" s="8"/>
      <c r="GZG23" s="6"/>
      <c r="GZH23" s="6"/>
      <c r="GZI23" s="8"/>
      <c r="GZJ23" s="8"/>
      <c r="GZK23" s="8"/>
      <c r="GZL23" s="28"/>
      <c r="GZM23" s="7"/>
      <c r="GZN23" s="8"/>
      <c r="GZO23" s="7"/>
      <c r="GZP23" s="7"/>
      <c r="GZQ23" s="6"/>
      <c r="GZR23" s="7"/>
      <c r="GZS23" s="8"/>
      <c r="GZT23" s="6"/>
      <c r="GZU23" s="8"/>
      <c r="GZV23" s="6"/>
      <c r="GZW23" s="8"/>
      <c r="GZX23" s="8"/>
      <c r="GZY23" s="6"/>
      <c r="GZZ23" s="6"/>
      <c r="HAA23" s="8"/>
      <c r="HAB23" s="8"/>
      <c r="HAC23" s="8"/>
      <c r="HAD23" s="28"/>
      <c r="HAE23" s="7"/>
      <c r="HAF23" s="8"/>
      <c r="HAG23" s="7"/>
      <c r="HAH23" s="7"/>
      <c r="HAI23" s="6"/>
      <c r="HAJ23" s="7"/>
      <c r="HAK23" s="8"/>
      <c r="HAL23" s="6"/>
      <c r="HAM23" s="8"/>
      <c r="HAN23" s="6"/>
      <c r="HAO23" s="8"/>
      <c r="HAP23" s="8"/>
      <c r="HAQ23" s="6"/>
      <c r="HAR23" s="6"/>
      <c r="HAS23" s="8"/>
      <c r="HAT23" s="8"/>
      <c r="HAU23" s="8"/>
      <c r="HAV23" s="28"/>
      <c r="HAW23" s="7"/>
      <c r="HAX23" s="8"/>
      <c r="HAY23" s="7"/>
      <c r="HAZ23" s="7"/>
      <c r="HBA23" s="6"/>
      <c r="HBB23" s="7"/>
      <c r="HBC23" s="8"/>
      <c r="HBD23" s="6"/>
      <c r="HBE23" s="8"/>
      <c r="HBF23" s="6"/>
      <c r="HBG23" s="8"/>
      <c r="HBH23" s="8"/>
      <c r="HBI23" s="6"/>
      <c r="HBJ23" s="6"/>
      <c r="HBK23" s="8"/>
      <c r="HBL23" s="8"/>
      <c r="HBM23" s="8"/>
      <c r="HBN23" s="28"/>
      <c r="HBO23" s="7"/>
      <c r="HBP23" s="8"/>
      <c r="HBQ23" s="7"/>
      <c r="HBR23" s="7"/>
      <c r="HBS23" s="6"/>
      <c r="HBT23" s="7"/>
      <c r="HBU23" s="8"/>
      <c r="HBV23" s="6"/>
      <c r="HBW23" s="8"/>
      <c r="HBX23" s="6"/>
      <c r="HBY23" s="8"/>
      <c r="HBZ23" s="8"/>
      <c r="HCA23" s="6"/>
      <c r="HCB23" s="6"/>
      <c r="HCC23" s="8"/>
      <c r="HCD23" s="8"/>
      <c r="HCE23" s="8"/>
      <c r="HCF23" s="28"/>
      <c r="HCG23" s="7"/>
      <c r="HCH23" s="8"/>
      <c r="HCI23" s="7"/>
      <c r="HCJ23" s="7"/>
      <c r="HCK23" s="6"/>
      <c r="HCL23" s="7"/>
      <c r="HCM23" s="8"/>
      <c r="HCN23" s="6"/>
      <c r="HCO23" s="8"/>
      <c r="HCP23" s="6"/>
      <c r="HCQ23" s="8"/>
      <c r="HCR23" s="8"/>
      <c r="HCS23" s="6"/>
      <c r="HCT23" s="6"/>
      <c r="HCU23" s="8"/>
      <c r="HCV23" s="8"/>
      <c r="HCW23" s="8"/>
      <c r="HCX23" s="28"/>
      <c r="HCY23" s="7"/>
      <c r="HCZ23" s="8"/>
      <c r="HDA23" s="7"/>
      <c r="HDB23" s="7"/>
      <c r="HDC23" s="6"/>
      <c r="HDD23" s="7"/>
      <c r="HDE23" s="8"/>
      <c r="HDF23" s="6"/>
      <c r="HDG23" s="8"/>
      <c r="HDH23" s="6"/>
      <c r="HDI23" s="8"/>
      <c r="HDJ23" s="8"/>
      <c r="HDK23" s="6"/>
      <c r="HDL23" s="6"/>
      <c r="HDM23" s="8"/>
      <c r="HDN23" s="8"/>
      <c r="HDO23" s="8"/>
      <c r="HDP23" s="28"/>
      <c r="HDQ23" s="7"/>
      <c r="HDR23" s="8"/>
      <c r="HDS23" s="7"/>
      <c r="HDT23" s="7"/>
      <c r="HDU23" s="6"/>
      <c r="HDV23" s="7"/>
      <c r="HDW23" s="8"/>
      <c r="HDX23" s="6"/>
      <c r="HDY23" s="8"/>
      <c r="HDZ23" s="6"/>
      <c r="HEA23" s="8"/>
      <c r="HEB23" s="8"/>
      <c r="HEC23" s="6"/>
      <c r="HED23" s="6"/>
      <c r="HEE23" s="8"/>
      <c r="HEF23" s="8"/>
      <c r="HEG23" s="8"/>
      <c r="HEH23" s="28"/>
      <c r="HEI23" s="7"/>
      <c r="HEJ23" s="8"/>
      <c r="HEK23" s="7"/>
      <c r="HEL23" s="7"/>
      <c r="HEM23" s="6"/>
      <c r="HEN23" s="7"/>
      <c r="HEO23" s="8"/>
      <c r="HEP23" s="6"/>
      <c r="HEQ23" s="8"/>
      <c r="HER23" s="6"/>
      <c r="HES23" s="8"/>
      <c r="HET23" s="8"/>
      <c r="HEU23" s="6"/>
      <c r="HEV23" s="6"/>
      <c r="HEW23" s="8"/>
      <c r="HEX23" s="8"/>
      <c r="HEY23" s="8"/>
      <c r="HEZ23" s="28"/>
      <c r="HFA23" s="7"/>
      <c r="HFB23" s="8"/>
      <c r="HFC23" s="7"/>
      <c r="HFD23" s="7"/>
      <c r="HFE23" s="6"/>
      <c r="HFF23" s="7"/>
      <c r="HFG23" s="8"/>
      <c r="HFH23" s="6"/>
      <c r="HFI23" s="8"/>
      <c r="HFJ23" s="6"/>
      <c r="HFK23" s="8"/>
      <c r="HFL23" s="8"/>
      <c r="HFM23" s="6"/>
      <c r="HFN23" s="6"/>
      <c r="HFO23" s="8"/>
      <c r="HFP23" s="8"/>
      <c r="HFQ23" s="8"/>
      <c r="HFR23" s="28"/>
      <c r="HFS23" s="7"/>
      <c r="HFT23" s="8"/>
      <c r="HFU23" s="7"/>
      <c r="HFV23" s="7"/>
      <c r="HFW23" s="6"/>
      <c r="HFX23" s="7"/>
      <c r="HFY23" s="8"/>
      <c r="HFZ23" s="6"/>
      <c r="HGA23" s="8"/>
      <c r="HGB23" s="6"/>
      <c r="HGC23" s="8"/>
      <c r="HGD23" s="8"/>
      <c r="HGE23" s="6"/>
      <c r="HGF23" s="6"/>
      <c r="HGG23" s="8"/>
      <c r="HGH23" s="8"/>
      <c r="HGI23" s="8"/>
      <c r="HGJ23" s="28"/>
      <c r="HGK23" s="7"/>
      <c r="HGL23" s="8"/>
      <c r="HGM23" s="7"/>
      <c r="HGN23" s="7"/>
      <c r="HGO23" s="6"/>
      <c r="HGP23" s="7"/>
      <c r="HGQ23" s="8"/>
      <c r="HGR23" s="6"/>
      <c r="HGS23" s="8"/>
      <c r="HGT23" s="6"/>
      <c r="HGU23" s="8"/>
      <c r="HGV23" s="8"/>
      <c r="HGW23" s="6"/>
      <c r="HGX23" s="6"/>
      <c r="HGY23" s="8"/>
      <c r="HGZ23" s="8"/>
      <c r="HHA23" s="8"/>
      <c r="HHB23" s="28"/>
      <c r="HHC23" s="7"/>
      <c r="HHD23" s="8"/>
      <c r="HHE23" s="7"/>
      <c r="HHF23" s="7"/>
      <c r="HHG23" s="6"/>
      <c r="HHH23" s="7"/>
      <c r="HHI23" s="8"/>
      <c r="HHJ23" s="6"/>
      <c r="HHK23" s="8"/>
      <c r="HHL23" s="6"/>
      <c r="HHM23" s="8"/>
      <c r="HHN23" s="8"/>
      <c r="HHO23" s="6"/>
      <c r="HHP23" s="6"/>
      <c r="HHQ23" s="8"/>
      <c r="HHR23" s="8"/>
      <c r="HHS23" s="8"/>
      <c r="HHT23" s="28"/>
      <c r="HHU23" s="7"/>
      <c r="HHV23" s="8"/>
      <c r="HHW23" s="7"/>
      <c r="HHX23" s="7"/>
      <c r="HHY23" s="6"/>
      <c r="HHZ23" s="7"/>
      <c r="HIA23" s="8"/>
      <c r="HIB23" s="6"/>
      <c r="HIC23" s="8"/>
      <c r="HID23" s="6"/>
      <c r="HIE23" s="8"/>
      <c r="HIF23" s="8"/>
      <c r="HIG23" s="6"/>
      <c r="HIH23" s="6"/>
      <c r="HII23" s="8"/>
      <c r="HIJ23" s="8"/>
      <c r="HIK23" s="8"/>
      <c r="HIL23" s="28"/>
      <c r="HIM23" s="7"/>
      <c r="HIN23" s="8"/>
      <c r="HIO23" s="7"/>
      <c r="HIP23" s="7"/>
      <c r="HIQ23" s="6"/>
      <c r="HIR23" s="7"/>
      <c r="HIS23" s="8"/>
      <c r="HIT23" s="6"/>
      <c r="HIU23" s="8"/>
      <c r="HIV23" s="6"/>
      <c r="HIW23" s="8"/>
      <c r="HIX23" s="8"/>
      <c r="HIY23" s="6"/>
      <c r="HIZ23" s="6"/>
      <c r="HJA23" s="8"/>
      <c r="HJB23" s="8"/>
      <c r="HJC23" s="8"/>
      <c r="HJD23" s="28"/>
      <c r="HJE23" s="7"/>
      <c r="HJF23" s="8"/>
      <c r="HJG23" s="7"/>
      <c r="HJH23" s="7"/>
      <c r="HJI23" s="6"/>
      <c r="HJJ23" s="7"/>
      <c r="HJK23" s="8"/>
      <c r="HJL23" s="6"/>
      <c r="HJM23" s="8"/>
      <c r="HJN23" s="6"/>
      <c r="HJO23" s="8"/>
      <c r="HJP23" s="8"/>
      <c r="HJQ23" s="6"/>
      <c r="HJR23" s="6"/>
      <c r="HJS23" s="8"/>
      <c r="HJT23" s="8"/>
      <c r="HJU23" s="8"/>
      <c r="HJV23" s="28"/>
      <c r="HJW23" s="7"/>
      <c r="HJX23" s="8"/>
      <c r="HJY23" s="7"/>
      <c r="HJZ23" s="7"/>
      <c r="HKA23" s="6"/>
      <c r="HKB23" s="7"/>
      <c r="HKC23" s="8"/>
      <c r="HKD23" s="6"/>
      <c r="HKE23" s="8"/>
      <c r="HKF23" s="6"/>
      <c r="HKG23" s="8"/>
      <c r="HKH23" s="8"/>
      <c r="HKI23" s="6"/>
      <c r="HKJ23" s="6"/>
      <c r="HKK23" s="8"/>
      <c r="HKL23" s="8"/>
      <c r="HKM23" s="8"/>
      <c r="HKN23" s="28"/>
      <c r="HKO23" s="7"/>
      <c r="HKP23" s="8"/>
      <c r="HKQ23" s="7"/>
      <c r="HKR23" s="7"/>
      <c r="HKS23" s="6"/>
      <c r="HKT23" s="7"/>
      <c r="HKU23" s="8"/>
      <c r="HKV23" s="6"/>
      <c r="HKW23" s="8"/>
      <c r="HKX23" s="6"/>
      <c r="HKY23" s="8"/>
      <c r="HKZ23" s="8"/>
      <c r="HLA23" s="6"/>
      <c r="HLB23" s="6"/>
      <c r="HLC23" s="8"/>
      <c r="HLD23" s="8"/>
      <c r="HLE23" s="8"/>
      <c r="HLF23" s="28"/>
      <c r="HLG23" s="7"/>
      <c r="HLH23" s="8"/>
      <c r="HLI23" s="7"/>
      <c r="HLJ23" s="7"/>
      <c r="HLK23" s="6"/>
      <c r="HLL23" s="7"/>
      <c r="HLM23" s="8"/>
      <c r="HLN23" s="6"/>
      <c r="HLO23" s="8"/>
      <c r="HLP23" s="6"/>
      <c r="HLQ23" s="8"/>
      <c r="HLR23" s="8"/>
      <c r="HLS23" s="6"/>
      <c r="HLT23" s="6"/>
      <c r="HLU23" s="8"/>
      <c r="HLV23" s="8"/>
      <c r="HLW23" s="8"/>
      <c r="HLX23" s="28"/>
      <c r="HLY23" s="7"/>
      <c r="HLZ23" s="8"/>
      <c r="HMA23" s="7"/>
      <c r="HMB23" s="7"/>
      <c r="HMC23" s="6"/>
      <c r="HMD23" s="7"/>
      <c r="HME23" s="8"/>
      <c r="HMF23" s="6"/>
      <c r="HMG23" s="8"/>
      <c r="HMH23" s="6"/>
      <c r="HMI23" s="8"/>
      <c r="HMJ23" s="8"/>
      <c r="HMK23" s="6"/>
      <c r="HML23" s="6"/>
      <c r="HMM23" s="8"/>
      <c r="HMN23" s="8"/>
      <c r="HMO23" s="8"/>
      <c r="HMP23" s="28"/>
      <c r="HMQ23" s="7"/>
      <c r="HMR23" s="8"/>
      <c r="HMS23" s="7"/>
      <c r="HMT23" s="7"/>
      <c r="HMU23" s="6"/>
      <c r="HMV23" s="7"/>
      <c r="HMW23" s="8"/>
      <c r="HMX23" s="6"/>
      <c r="HMY23" s="8"/>
      <c r="HMZ23" s="6"/>
      <c r="HNA23" s="8"/>
      <c r="HNB23" s="8"/>
      <c r="HNC23" s="6"/>
      <c r="HND23" s="6"/>
      <c r="HNE23" s="8"/>
      <c r="HNF23" s="8"/>
      <c r="HNG23" s="8"/>
      <c r="HNH23" s="28"/>
      <c r="HNI23" s="7"/>
      <c r="HNJ23" s="8"/>
      <c r="HNK23" s="7"/>
      <c r="HNL23" s="7"/>
      <c r="HNM23" s="6"/>
      <c r="HNN23" s="7"/>
      <c r="HNO23" s="8"/>
      <c r="HNP23" s="6"/>
      <c r="HNQ23" s="8"/>
      <c r="HNR23" s="6"/>
      <c r="HNS23" s="8"/>
      <c r="HNT23" s="8"/>
      <c r="HNU23" s="6"/>
      <c r="HNV23" s="6"/>
      <c r="HNW23" s="8"/>
      <c r="HNX23" s="8"/>
      <c r="HNY23" s="8"/>
      <c r="HNZ23" s="28"/>
      <c r="HOA23" s="7"/>
      <c r="HOB23" s="8"/>
      <c r="HOC23" s="7"/>
      <c r="HOD23" s="7"/>
      <c r="HOE23" s="6"/>
      <c r="HOF23" s="7"/>
      <c r="HOG23" s="8"/>
      <c r="HOH23" s="6"/>
      <c r="HOI23" s="8"/>
      <c r="HOJ23" s="6"/>
      <c r="HOK23" s="8"/>
      <c r="HOL23" s="8"/>
      <c r="HOM23" s="6"/>
      <c r="HON23" s="6"/>
      <c r="HOO23" s="8"/>
      <c r="HOP23" s="8"/>
      <c r="HOQ23" s="8"/>
      <c r="HOR23" s="28"/>
      <c r="HOS23" s="7"/>
      <c r="HOT23" s="8"/>
      <c r="HOU23" s="7"/>
      <c r="HOV23" s="7"/>
      <c r="HOW23" s="6"/>
      <c r="HOX23" s="7"/>
      <c r="HOY23" s="8"/>
      <c r="HOZ23" s="6"/>
      <c r="HPA23" s="8"/>
      <c r="HPB23" s="6"/>
      <c r="HPC23" s="8"/>
      <c r="HPD23" s="8"/>
      <c r="HPE23" s="6"/>
      <c r="HPF23" s="6"/>
      <c r="HPG23" s="8"/>
      <c r="HPH23" s="8"/>
      <c r="HPI23" s="8"/>
      <c r="HPJ23" s="28"/>
      <c r="HPK23" s="7"/>
      <c r="HPL23" s="8"/>
      <c r="HPM23" s="7"/>
      <c r="HPN23" s="7"/>
      <c r="HPO23" s="6"/>
      <c r="HPP23" s="7"/>
      <c r="HPQ23" s="8"/>
      <c r="HPR23" s="6"/>
      <c r="HPS23" s="8"/>
      <c r="HPT23" s="6"/>
      <c r="HPU23" s="8"/>
      <c r="HPV23" s="8"/>
      <c r="HPW23" s="6"/>
      <c r="HPX23" s="6"/>
      <c r="HPY23" s="8"/>
      <c r="HPZ23" s="8"/>
      <c r="HQA23" s="8"/>
      <c r="HQB23" s="28"/>
      <c r="HQC23" s="7"/>
      <c r="HQD23" s="8"/>
      <c r="HQE23" s="7"/>
      <c r="HQF23" s="7"/>
      <c r="HQG23" s="6"/>
      <c r="HQH23" s="7"/>
      <c r="HQI23" s="8"/>
      <c r="HQJ23" s="6"/>
      <c r="HQK23" s="8"/>
      <c r="HQL23" s="6"/>
      <c r="HQM23" s="8"/>
      <c r="HQN23" s="8"/>
      <c r="HQO23" s="6"/>
      <c r="HQP23" s="6"/>
      <c r="HQQ23" s="8"/>
      <c r="HQR23" s="8"/>
      <c r="HQS23" s="8"/>
      <c r="HQT23" s="28"/>
      <c r="HQU23" s="7"/>
      <c r="HQV23" s="8"/>
      <c r="HQW23" s="7"/>
      <c r="HQX23" s="7"/>
      <c r="HQY23" s="6"/>
      <c r="HQZ23" s="7"/>
      <c r="HRA23" s="8"/>
      <c r="HRB23" s="6"/>
      <c r="HRC23" s="8"/>
      <c r="HRD23" s="6"/>
      <c r="HRE23" s="8"/>
      <c r="HRF23" s="8"/>
      <c r="HRG23" s="6"/>
      <c r="HRH23" s="6"/>
      <c r="HRI23" s="8"/>
      <c r="HRJ23" s="8"/>
      <c r="HRK23" s="8"/>
      <c r="HRL23" s="28"/>
      <c r="HRM23" s="7"/>
      <c r="HRN23" s="8"/>
      <c r="HRO23" s="7"/>
      <c r="HRP23" s="7"/>
      <c r="HRQ23" s="6"/>
      <c r="HRR23" s="7"/>
      <c r="HRS23" s="8"/>
      <c r="HRT23" s="6"/>
      <c r="HRU23" s="8"/>
      <c r="HRV23" s="6"/>
      <c r="HRW23" s="8"/>
      <c r="HRX23" s="8"/>
      <c r="HRY23" s="6"/>
      <c r="HRZ23" s="6"/>
      <c r="HSA23" s="8"/>
      <c r="HSB23" s="8"/>
      <c r="HSC23" s="8"/>
      <c r="HSD23" s="28"/>
      <c r="HSE23" s="7"/>
      <c r="HSF23" s="8"/>
      <c r="HSG23" s="7"/>
      <c r="HSH23" s="7"/>
      <c r="HSI23" s="6"/>
      <c r="HSJ23" s="7"/>
      <c r="HSK23" s="8"/>
      <c r="HSL23" s="6"/>
      <c r="HSM23" s="8"/>
      <c r="HSN23" s="6"/>
      <c r="HSO23" s="8"/>
      <c r="HSP23" s="8"/>
      <c r="HSQ23" s="6"/>
      <c r="HSR23" s="6"/>
      <c r="HSS23" s="8"/>
      <c r="HST23" s="8"/>
      <c r="HSU23" s="8"/>
      <c r="HSV23" s="28"/>
      <c r="HSW23" s="7"/>
      <c r="HSX23" s="8"/>
      <c r="HSY23" s="7"/>
      <c r="HSZ23" s="7"/>
      <c r="HTA23" s="6"/>
      <c r="HTB23" s="7"/>
      <c r="HTC23" s="8"/>
      <c r="HTD23" s="6"/>
      <c r="HTE23" s="8"/>
      <c r="HTF23" s="6"/>
      <c r="HTG23" s="8"/>
      <c r="HTH23" s="8"/>
      <c r="HTI23" s="6"/>
      <c r="HTJ23" s="6"/>
      <c r="HTK23" s="8"/>
      <c r="HTL23" s="8"/>
      <c r="HTM23" s="8"/>
      <c r="HTN23" s="28"/>
      <c r="HTO23" s="7"/>
      <c r="HTP23" s="8"/>
      <c r="HTQ23" s="7"/>
      <c r="HTR23" s="7"/>
      <c r="HTS23" s="6"/>
      <c r="HTT23" s="7"/>
      <c r="HTU23" s="8"/>
      <c r="HTV23" s="6"/>
      <c r="HTW23" s="8"/>
      <c r="HTX23" s="6"/>
      <c r="HTY23" s="8"/>
      <c r="HTZ23" s="8"/>
      <c r="HUA23" s="6"/>
      <c r="HUB23" s="6"/>
      <c r="HUC23" s="8"/>
      <c r="HUD23" s="8"/>
      <c r="HUE23" s="8"/>
      <c r="HUF23" s="28"/>
      <c r="HUG23" s="7"/>
      <c r="HUH23" s="8"/>
      <c r="HUI23" s="7"/>
      <c r="HUJ23" s="7"/>
      <c r="HUK23" s="6"/>
      <c r="HUL23" s="7"/>
      <c r="HUM23" s="8"/>
      <c r="HUN23" s="6"/>
      <c r="HUO23" s="8"/>
      <c r="HUP23" s="6"/>
      <c r="HUQ23" s="8"/>
      <c r="HUR23" s="8"/>
      <c r="HUS23" s="6"/>
      <c r="HUT23" s="6"/>
      <c r="HUU23" s="8"/>
      <c r="HUV23" s="8"/>
      <c r="HUW23" s="8"/>
      <c r="HUX23" s="28"/>
      <c r="HUY23" s="7"/>
      <c r="HUZ23" s="8"/>
      <c r="HVA23" s="7"/>
      <c r="HVB23" s="7"/>
      <c r="HVC23" s="6"/>
      <c r="HVD23" s="7"/>
      <c r="HVE23" s="8"/>
      <c r="HVF23" s="6"/>
      <c r="HVG23" s="8"/>
      <c r="HVH23" s="6"/>
      <c r="HVI23" s="8"/>
      <c r="HVJ23" s="8"/>
      <c r="HVK23" s="6"/>
      <c r="HVL23" s="6"/>
      <c r="HVM23" s="8"/>
      <c r="HVN23" s="8"/>
      <c r="HVO23" s="8"/>
      <c r="HVP23" s="28"/>
      <c r="HVQ23" s="7"/>
      <c r="HVR23" s="8"/>
      <c r="HVS23" s="7"/>
      <c r="HVT23" s="7"/>
      <c r="HVU23" s="6"/>
      <c r="HVV23" s="7"/>
      <c r="HVW23" s="8"/>
      <c r="HVX23" s="6"/>
      <c r="HVY23" s="8"/>
      <c r="HVZ23" s="6"/>
      <c r="HWA23" s="8"/>
      <c r="HWB23" s="8"/>
      <c r="HWC23" s="6"/>
      <c r="HWD23" s="6"/>
      <c r="HWE23" s="8"/>
      <c r="HWF23" s="8"/>
      <c r="HWG23" s="8"/>
      <c r="HWH23" s="28"/>
      <c r="HWI23" s="7"/>
      <c r="HWJ23" s="8"/>
      <c r="HWK23" s="7"/>
      <c r="HWL23" s="7"/>
      <c r="HWM23" s="6"/>
      <c r="HWN23" s="7"/>
      <c r="HWO23" s="8"/>
      <c r="HWP23" s="6"/>
      <c r="HWQ23" s="8"/>
      <c r="HWR23" s="6"/>
      <c r="HWS23" s="8"/>
      <c r="HWT23" s="8"/>
      <c r="HWU23" s="6"/>
      <c r="HWV23" s="6"/>
      <c r="HWW23" s="8"/>
      <c r="HWX23" s="8"/>
      <c r="HWY23" s="8"/>
      <c r="HWZ23" s="28"/>
      <c r="HXA23" s="7"/>
      <c r="HXB23" s="8"/>
      <c r="HXC23" s="7"/>
      <c r="HXD23" s="7"/>
      <c r="HXE23" s="6"/>
      <c r="HXF23" s="7"/>
      <c r="HXG23" s="8"/>
      <c r="HXH23" s="6"/>
      <c r="HXI23" s="8"/>
      <c r="HXJ23" s="6"/>
      <c r="HXK23" s="8"/>
      <c r="HXL23" s="8"/>
      <c r="HXM23" s="6"/>
      <c r="HXN23" s="6"/>
      <c r="HXO23" s="8"/>
      <c r="HXP23" s="8"/>
      <c r="HXQ23" s="8"/>
      <c r="HXR23" s="28"/>
      <c r="HXS23" s="7"/>
      <c r="HXT23" s="8"/>
      <c r="HXU23" s="7"/>
      <c r="HXV23" s="7"/>
      <c r="HXW23" s="6"/>
      <c r="HXX23" s="7"/>
      <c r="HXY23" s="8"/>
      <c r="HXZ23" s="6"/>
      <c r="HYA23" s="8"/>
      <c r="HYB23" s="6"/>
      <c r="HYC23" s="8"/>
      <c r="HYD23" s="8"/>
      <c r="HYE23" s="6"/>
      <c r="HYF23" s="6"/>
      <c r="HYG23" s="8"/>
      <c r="HYH23" s="8"/>
      <c r="HYI23" s="8"/>
      <c r="HYJ23" s="28"/>
      <c r="HYK23" s="7"/>
      <c r="HYL23" s="8"/>
      <c r="HYM23" s="7"/>
      <c r="HYN23" s="7"/>
      <c r="HYO23" s="6"/>
      <c r="HYP23" s="7"/>
      <c r="HYQ23" s="8"/>
      <c r="HYR23" s="6"/>
      <c r="HYS23" s="8"/>
      <c r="HYT23" s="6"/>
      <c r="HYU23" s="8"/>
      <c r="HYV23" s="8"/>
      <c r="HYW23" s="6"/>
      <c r="HYX23" s="6"/>
      <c r="HYY23" s="8"/>
      <c r="HYZ23" s="8"/>
      <c r="HZA23" s="8"/>
      <c r="HZB23" s="28"/>
      <c r="HZC23" s="7"/>
      <c r="HZD23" s="8"/>
      <c r="HZE23" s="7"/>
      <c r="HZF23" s="7"/>
      <c r="HZG23" s="6"/>
      <c r="HZH23" s="7"/>
      <c r="HZI23" s="8"/>
      <c r="HZJ23" s="6"/>
      <c r="HZK23" s="8"/>
      <c r="HZL23" s="6"/>
      <c r="HZM23" s="8"/>
      <c r="HZN23" s="8"/>
      <c r="HZO23" s="6"/>
      <c r="HZP23" s="6"/>
      <c r="HZQ23" s="8"/>
      <c r="HZR23" s="8"/>
      <c r="HZS23" s="8"/>
      <c r="HZT23" s="28"/>
      <c r="HZU23" s="7"/>
      <c r="HZV23" s="8"/>
      <c r="HZW23" s="7"/>
      <c r="HZX23" s="7"/>
      <c r="HZY23" s="6"/>
      <c r="HZZ23" s="7"/>
      <c r="IAA23" s="8"/>
      <c r="IAB23" s="6"/>
      <c r="IAC23" s="8"/>
      <c r="IAD23" s="6"/>
      <c r="IAE23" s="8"/>
      <c r="IAF23" s="8"/>
      <c r="IAG23" s="6"/>
      <c r="IAH23" s="6"/>
      <c r="IAI23" s="8"/>
      <c r="IAJ23" s="8"/>
      <c r="IAK23" s="8"/>
      <c r="IAL23" s="28"/>
      <c r="IAM23" s="7"/>
      <c r="IAN23" s="8"/>
      <c r="IAO23" s="7"/>
      <c r="IAP23" s="7"/>
      <c r="IAQ23" s="6"/>
      <c r="IAR23" s="7"/>
      <c r="IAS23" s="8"/>
      <c r="IAT23" s="6"/>
      <c r="IAU23" s="8"/>
      <c r="IAV23" s="6"/>
      <c r="IAW23" s="8"/>
      <c r="IAX23" s="8"/>
      <c r="IAY23" s="6"/>
      <c r="IAZ23" s="6"/>
      <c r="IBA23" s="8"/>
      <c r="IBB23" s="8"/>
      <c r="IBC23" s="8"/>
      <c r="IBD23" s="28"/>
      <c r="IBE23" s="7"/>
      <c r="IBF23" s="8"/>
      <c r="IBG23" s="7"/>
      <c r="IBH23" s="7"/>
      <c r="IBI23" s="6"/>
      <c r="IBJ23" s="7"/>
      <c r="IBK23" s="8"/>
      <c r="IBL23" s="6"/>
      <c r="IBM23" s="8"/>
      <c r="IBN23" s="6"/>
      <c r="IBO23" s="8"/>
      <c r="IBP23" s="8"/>
      <c r="IBQ23" s="6"/>
      <c r="IBR23" s="6"/>
      <c r="IBS23" s="8"/>
      <c r="IBT23" s="8"/>
      <c r="IBU23" s="8"/>
      <c r="IBV23" s="28"/>
      <c r="IBW23" s="7"/>
      <c r="IBX23" s="8"/>
      <c r="IBY23" s="7"/>
      <c r="IBZ23" s="7"/>
      <c r="ICA23" s="6"/>
      <c r="ICB23" s="7"/>
      <c r="ICC23" s="8"/>
      <c r="ICD23" s="6"/>
      <c r="ICE23" s="8"/>
      <c r="ICF23" s="6"/>
      <c r="ICG23" s="8"/>
      <c r="ICH23" s="8"/>
      <c r="ICI23" s="6"/>
      <c r="ICJ23" s="6"/>
      <c r="ICK23" s="8"/>
      <c r="ICL23" s="8"/>
      <c r="ICM23" s="8"/>
      <c r="ICN23" s="28"/>
      <c r="ICO23" s="7"/>
      <c r="ICP23" s="8"/>
      <c r="ICQ23" s="7"/>
      <c r="ICR23" s="7"/>
      <c r="ICS23" s="6"/>
      <c r="ICT23" s="7"/>
      <c r="ICU23" s="8"/>
      <c r="ICV23" s="6"/>
      <c r="ICW23" s="8"/>
      <c r="ICX23" s="6"/>
      <c r="ICY23" s="8"/>
      <c r="ICZ23" s="8"/>
      <c r="IDA23" s="6"/>
      <c r="IDB23" s="6"/>
      <c r="IDC23" s="8"/>
      <c r="IDD23" s="8"/>
      <c r="IDE23" s="8"/>
      <c r="IDF23" s="28"/>
      <c r="IDG23" s="7"/>
      <c r="IDH23" s="8"/>
      <c r="IDI23" s="7"/>
      <c r="IDJ23" s="7"/>
      <c r="IDK23" s="6"/>
      <c r="IDL23" s="7"/>
      <c r="IDM23" s="8"/>
      <c r="IDN23" s="6"/>
      <c r="IDO23" s="8"/>
      <c r="IDP23" s="6"/>
      <c r="IDQ23" s="8"/>
      <c r="IDR23" s="8"/>
      <c r="IDS23" s="6"/>
      <c r="IDT23" s="6"/>
      <c r="IDU23" s="8"/>
      <c r="IDV23" s="8"/>
      <c r="IDW23" s="8"/>
      <c r="IDX23" s="28"/>
      <c r="IDY23" s="7"/>
      <c r="IDZ23" s="8"/>
      <c r="IEA23" s="7"/>
      <c r="IEB23" s="7"/>
      <c r="IEC23" s="6"/>
      <c r="IED23" s="7"/>
      <c r="IEE23" s="8"/>
      <c r="IEF23" s="6"/>
      <c r="IEG23" s="8"/>
      <c r="IEH23" s="6"/>
      <c r="IEI23" s="8"/>
      <c r="IEJ23" s="8"/>
      <c r="IEK23" s="6"/>
      <c r="IEL23" s="6"/>
      <c r="IEM23" s="8"/>
      <c r="IEN23" s="8"/>
      <c r="IEO23" s="8"/>
      <c r="IEP23" s="28"/>
      <c r="IEQ23" s="7"/>
      <c r="IER23" s="8"/>
      <c r="IES23" s="7"/>
      <c r="IET23" s="7"/>
      <c r="IEU23" s="6"/>
      <c r="IEV23" s="7"/>
      <c r="IEW23" s="8"/>
      <c r="IEX23" s="6"/>
      <c r="IEY23" s="8"/>
      <c r="IEZ23" s="6"/>
      <c r="IFA23" s="8"/>
      <c r="IFB23" s="8"/>
      <c r="IFC23" s="6"/>
      <c r="IFD23" s="6"/>
      <c r="IFE23" s="8"/>
      <c r="IFF23" s="8"/>
      <c r="IFG23" s="8"/>
      <c r="IFH23" s="28"/>
      <c r="IFI23" s="7"/>
      <c r="IFJ23" s="8"/>
      <c r="IFK23" s="7"/>
      <c r="IFL23" s="7"/>
      <c r="IFM23" s="6"/>
      <c r="IFN23" s="7"/>
      <c r="IFO23" s="8"/>
      <c r="IFP23" s="6"/>
      <c r="IFQ23" s="8"/>
      <c r="IFR23" s="6"/>
      <c r="IFS23" s="8"/>
      <c r="IFT23" s="8"/>
      <c r="IFU23" s="6"/>
      <c r="IFV23" s="6"/>
      <c r="IFW23" s="8"/>
      <c r="IFX23" s="8"/>
      <c r="IFY23" s="8"/>
      <c r="IFZ23" s="28"/>
      <c r="IGA23" s="7"/>
      <c r="IGB23" s="8"/>
      <c r="IGC23" s="7"/>
      <c r="IGD23" s="7"/>
      <c r="IGE23" s="6"/>
      <c r="IGF23" s="7"/>
      <c r="IGG23" s="8"/>
      <c r="IGH23" s="6"/>
      <c r="IGI23" s="8"/>
      <c r="IGJ23" s="6"/>
      <c r="IGK23" s="8"/>
      <c r="IGL23" s="8"/>
      <c r="IGM23" s="6"/>
      <c r="IGN23" s="6"/>
      <c r="IGO23" s="8"/>
      <c r="IGP23" s="8"/>
      <c r="IGQ23" s="8"/>
      <c r="IGR23" s="28"/>
      <c r="IGS23" s="7"/>
      <c r="IGT23" s="8"/>
      <c r="IGU23" s="7"/>
      <c r="IGV23" s="7"/>
      <c r="IGW23" s="6"/>
      <c r="IGX23" s="7"/>
      <c r="IGY23" s="8"/>
      <c r="IGZ23" s="6"/>
      <c r="IHA23" s="8"/>
      <c r="IHB23" s="6"/>
      <c r="IHC23" s="8"/>
      <c r="IHD23" s="8"/>
      <c r="IHE23" s="6"/>
      <c r="IHF23" s="6"/>
      <c r="IHG23" s="8"/>
      <c r="IHH23" s="8"/>
      <c r="IHI23" s="8"/>
      <c r="IHJ23" s="28"/>
      <c r="IHK23" s="7"/>
      <c r="IHL23" s="8"/>
      <c r="IHM23" s="7"/>
      <c r="IHN23" s="7"/>
      <c r="IHO23" s="6"/>
      <c r="IHP23" s="7"/>
      <c r="IHQ23" s="8"/>
      <c r="IHR23" s="6"/>
      <c r="IHS23" s="8"/>
      <c r="IHT23" s="6"/>
      <c r="IHU23" s="8"/>
      <c r="IHV23" s="8"/>
      <c r="IHW23" s="6"/>
      <c r="IHX23" s="6"/>
      <c r="IHY23" s="8"/>
      <c r="IHZ23" s="8"/>
      <c r="IIA23" s="8"/>
      <c r="IIB23" s="28"/>
      <c r="IIC23" s="7"/>
      <c r="IID23" s="8"/>
      <c r="IIE23" s="7"/>
      <c r="IIF23" s="7"/>
      <c r="IIG23" s="6"/>
      <c r="IIH23" s="7"/>
      <c r="III23" s="8"/>
      <c r="IIJ23" s="6"/>
      <c r="IIK23" s="8"/>
      <c r="IIL23" s="6"/>
      <c r="IIM23" s="8"/>
      <c r="IIN23" s="8"/>
      <c r="IIO23" s="6"/>
      <c r="IIP23" s="6"/>
      <c r="IIQ23" s="8"/>
      <c r="IIR23" s="8"/>
      <c r="IIS23" s="8"/>
      <c r="IIT23" s="28"/>
      <c r="IIU23" s="7"/>
      <c r="IIV23" s="8"/>
      <c r="IIW23" s="7"/>
      <c r="IIX23" s="7"/>
      <c r="IIY23" s="6"/>
      <c r="IIZ23" s="7"/>
      <c r="IJA23" s="8"/>
      <c r="IJB23" s="6"/>
      <c r="IJC23" s="8"/>
      <c r="IJD23" s="6"/>
      <c r="IJE23" s="8"/>
      <c r="IJF23" s="8"/>
      <c r="IJG23" s="6"/>
      <c r="IJH23" s="6"/>
      <c r="IJI23" s="8"/>
      <c r="IJJ23" s="8"/>
      <c r="IJK23" s="8"/>
      <c r="IJL23" s="28"/>
      <c r="IJM23" s="7"/>
      <c r="IJN23" s="8"/>
      <c r="IJO23" s="7"/>
      <c r="IJP23" s="7"/>
      <c r="IJQ23" s="6"/>
      <c r="IJR23" s="7"/>
      <c r="IJS23" s="8"/>
      <c r="IJT23" s="6"/>
      <c r="IJU23" s="8"/>
      <c r="IJV23" s="6"/>
      <c r="IJW23" s="8"/>
      <c r="IJX23" s="8"/>
      <c r="IJY23" s="6"/>
      <c r="IJZ23" s="6"/>
      <c r="IKA23" s="8"/>
      <c r="IKB23" s="8"/>
      <c r="IKC23" s="8"/>
      <c r="IKD23" s="28"/>
      <c r="IKE23" s="7"/>
      <c r="IKF23" s="8"/>
      <c r="IKG23" s="7"/>
      <c r="IKH23" s="7"/>
      <c r="IKI23" s="6"/>
      <c r="IKJ23" s="7"/>
      <c r="IKK23" s="8"/>
      <c r="IKL23" s="6"/>
      <c r="IKM23" s="8"/>
      <c r="IKN23" s="6"/>
      <c r="IKO23" s="8"/>
      <c r="IKP23" s="8"/>
      <c r="IKQ23" s="6"/>
      <c r="IKR23" s="6"/>
      <c r="IKS23" s="8"/>
      <c r="IKT23" s="8"/>
      <c r="IKU23" s="8"/>
      <c r="IKV23" s="28"/>
      <c r="IKW23" s="7"/>
      <c r="IKX23" s="8"/>
      <c r="IKY23" s="7"/>
      <c r="IKZ23" s="7"/>
      <c r="ILA23" s="6"/>
      <c r="ILB23" s="7"/>
      <c r="ILC23" s="8"/>
      <c r="ILD23" s="6"/>
      <c r="ILE23" s="8"/>
      <c r="ILF23" s="6"/>
      <c r="ILG23" s="8"/>
      <c r="ILH23" s="8"/>
      <c r="ILI23" s="6"/>
      <c r="ILJ23" s="6"/>
      <c r="ILK23" s="8"/>
      <c r="ILL23" s="8"/>
      <c r="ILM23" s="8"/>
      <c r="ILN23" s="28"/>
      <c r="ILO23" s="7"/>
      <c r="ILP23" s="8"/>
      <c r="ILQ23" s="7"/>
      <c r="ILR23" s="7"/>
      <c r="ILS23" s="6"/>
      <c r="ILT23" s="7"/>
      <c r="ILU23" s="8"/>
      <c r="ILV23" s="6"/>
      <c r="ILW23" s="8"/>
      <c r="ILX23" s="6"/>
      <c r="ILY23" s="8"/>
      <c r="ILZ23" s="8"/>
      <c r="IMA23" s="6"/>
      <c r="IMB23" s="6"/>
      <c r="IMC23" s="8"/>
      <c r="IMD23" s="8"/>
      <c r="IME23" s="8"/>
      <c r="IMF23" s="28"/>
      <c r="IMG23" s="7"/>
      <c r="IMH23" s="8"/>
      <c r="IMI23" s="7"/>
      <c r="IMJ23" s="7"/>
      <c r="IMK23" s="6"/>
      <c r="IML23" s="7"/>
      <c r="IMM23" s="8"/>
      <c r="IMN23" s="6"/>
      <c r="IMO23" s="8"/>
      <c r="IMP23" s="6"/>
      <c r="IMQ23" s="8"/>
      <c r="IMR23" s="8"/>
      <c r="IMS23" s="6"/>
      <c r="IMT23" s="6"/>
      <c r="IMU23" s="8"/>
      <c r="IMV23" s="8"/>
      <c r="IMW23" s="8"/>
      <c r="IMX23" s="28"/>
      <c r="IMY23" s="7"/>
      <c r="IMZ23" s="8"/>
      <c r="INA23" s="7"/>
      <c r="INB23" s="7"/>
      <c r="INC23" s="6"/>
      <c r="IND23" s="7"/>
      <c r="INE23" s="8"/>
      <c r="INF23" s="6"/>
      <c r="ING23" s="8"/>
      <c r="INH23" s="6"/>
      <c r="INI23" s="8"/>
      <c r="INJ23" s="8"/>
      <c r="INK23" s="6"/>
      <c r="INL23" s="6"/>
      <c r="INM23" s="8"/>
      <c r="INN23" s="8"/>
      <c r="INO23" s="8"/>
      <c r="INP23" s="28"/>
      <c r="INQ23" s="7"/>
      <c r="INR23" s="8"/>
      <c r="INS23" s="7"/>
      <c r="INT23" s="7"/>
      <c r="INU23" s="6"/>
      <c r="INV23" s="7"/>
      <c r="INW23" s="8"/>
      <c r="INX23" s="6"/>
      <c r="INY23" s="8"/>
      <c r="INZ23" s="6"/>
      <c r="IOA23" s="8"/>
      <c r="IOB23" s="8"/>
      <c r="IOC23" s="6"/>
      <c r="IOD23" s="6"/>
      <c r="IOE23" s="8"/>
      <c r="IOF23" s="8"/>
      <c r="IOG23" s="8"/>
      <c r="IOH23" s="28"/>
      <c r="IOI23" s="7"/>
      <c r="IOJ23" s="8"/>
      <c r="IOK23" s="7"/>
      <c r="IOL23" s="7"/>
      <c r="IOM23" s="6"/>
      <c r="ION23" s="7"/>
      <c r="IOO23" s="8"/>
      <c r="IOP23" s="6"/>
      <c r="IOQ23" s="8"/>
      <c r="IOR23" s="6"/>
      <c r="IOS23" s="8"/>
      <c r="IOT23" s="8"/>
      <c r="IOU23" s="6"/>
      <c r="IOV23" s="6"/>
      <c r="IOW23" s="8"/>
      <c r="IOX23" s="8"/>
      <c r="IOY23" s="8"/>
      <c r="IOZ23" s="28"/>
      <c r="IPA23" s="7"/>
      <c r="IPB23" s="8"/>
      <c r="IPC23" s="7"/>
      <c r="IPD23" s="7"/>
      <c r="IPE23" s="6"/>
      <c r="IPF23" s="7"/>
      <c r="IPG23" s="8"/>
      <c r="IPH23" s="6"/>
      <c r="IPI23" s="8"/>
      <c r="IPJ23" s="6"/>
      <c r="IPK23" s="8"/>
      <c r="IPL23" s="8"/>
      <c r="IPM23" s="6"/>
      <c r="IPN23" s="6"/>
      <c r="IPO23" s="8"/>
      <c r="IPP23" s="8"/>
      <c r="IPQ23" s="8"/>
      <c r="IPR23" s="28"/>
      <c r="IPS23" s="7"/>
      <c r="IPT23" s="8"/>
      <c r="IPU23" s="7"/>
      <c r="IPV23" s="7"/>
      <c r="IPW23" s="6"/>
      <c r="IPX23" s="7"/>
      <c r="IPY23" s="8"/>
      <c r="IPZ23" s="6"/>
      <c r="IQA23" s="8"/>
      <c r="IQB23" s="6"/>
      <c r="IQC23" s="8"/>
      <c r="IQD23" s="8"/>
      <c r="IQE23" s="6"/>
      <c r="IQF23" s="6"/>
      <c r="IQG23" s="8"/>
      <c r="IQH23" s="8"/>
      <c r="IQI23" s="8"/>
      <c r="IQJ23" s="28"/>
      <c r="IQK23" s="7"/>
      <c r="IQL23" s="8"/>
      <c r="IQM23" s="7"/>
      <c r="IQN23" s="7"/>
      <c r="IQO23" s="6"/>
      <c r="IQP23" s="7"/>
      <c r="IQQ23" s="8"/>
      <c r="IQR23" s="6"/>
      <c r="IQS23" s="8"/>
      <c r="IQT23" s="6"/>
      <c r="IQU23" s="8"/>
      <c r="IQV23" s="8"/>
      <c r="IQW23" s="6"/>
      <c r="IQX23" s="6"/>
      <c r="IQY23" s="8"/>
      <c r="IQZ23" s="8"/>
      <c r="IRA23" s="8"/>
      <c r="IRB23" s="28"/>
      <c r="IRC23" s="7"/>
      <c r="IRD23" s="8"/>
      <c r="IRE23" s="7"/>
      <c r="IRF23" s="7"/>
      <c r="IRG23" s="6"/>
      <c r="IRH23" s="7"/>
      <c r="IRI23" s="8"/>
      <c r="IRJ23" s="6"/>
      <c r="IRK23" s="8"/>
      <c r="IRL23" s="6"/>
      <c r="IRM23" s="8"/>
      <c r="IRN23" s="8"/>
      <c r="IRO23" s="6"/>
      <c r="IRP23" s="6"/>
      <c r="IRQ23" s="8"/>
      <c r="IRR23" s="8"/>
      <c r="IRS23" s="8"/>
      <c r="IRT23" s="28"/>
      <c r="IRU23" s="7"/>
      <c r="IRV23" s="8"/>
      <c r="IRW23" s="7"/>
      <c r="IRX23" s="7"/>
      <c r="IRY23" s="6"/>
      <c r="IRZ23" s="7"/>
      <c r="ISA23" s="8"/>
      <c r="ISB23" s="6"/>
      <c r="ISC23" s="8"/>
      <c r="ISD23" s="6"/>
      <c r="ISE23" s="8"/>
      <c r="ISF23" s="8"/>
      <c r="ISG23" s="6"/>
      <c r="ISH23" s="6"/>
      <c r="ISI23" s="8"/>
      <c r="ISJ23" s="8"/>
      <c r="ISK23" s="8"/>
      <c r="ISL23" s="28"/>
      <c r="ISM23" s="7"/>
      <c r="ISN23" s="8"/>
      <c r="ISO23" s="7"/>
      <c r="ISP23" s="7"/>
      <c r="ISQ23" s="6"/>
      <c r="ISR23" s="7"/>
      <c r="ISS23" s="8"/>
      <c r="IST23" s="6"/>
      <c r="ISU23" s="8"/>
      <c r="ISV23" s="6"/>
      <c r="ISW23" s="8"/>
      <c r="ISX23" s="8"/>
      <c r="ISY23" s="6"/>
      <c r="ISZ23" s="6"/>
      <c r="ITA23" s="8"/>
      <c r="ITB23" s="8"/>
      <c r="ITC23" s="8"/>
      <c r="ITD23" s="28"/>
      <c r="ITE23" s="7"/>
      <c r="ITF23" s="8"/>
      <c r="ITG23" s="7"/>
      <c r="ITH23" s="7"/>
      <c r="ITI23" s="6"/>
      <c r="ITJ23" s="7"/>
      <c r="ITK23" s="8"/>
      <c r="ITL23" s="6"/>
      <c r="ITM23" s="8"/>
      <c r="ITN23" s="6"/>
      <c r="ITO23" s="8"/>
      <c r="ITP23" s="8"/>
      <c r="ITQ23" s="6"/>
      <c r="ITR23" s="6"/>
      <c r="ITS23" s="8"/>
      <c r="ITT23" s="8"/>
      <c r="ITU23" s="8"/>
      <c r="ITV23" s="28"/>
      <c r="ITW23" s="7"/>
      <c r="ITX23" s="8"/>
      <c r="ITY23" s="7"/>
      <c r="ITZ23" s="7"/>
      <c r="IUA23" s="6"/>
      <c r="IUB23" s="7"/>
      <c r="IUC23" s="8"/>
      <c r="IUD23" s="6"/>
      <c r="IUE23" s="8"/>
      <c r="IUF23" s="6"/>
      <c r="IUG23" s="8"/>
      <c r="IUH23" s="8"/>
      <c r="IUI23" s="6"/>
      <c r="IUJ23" s="6"/>
      <c r="IUK23" s="8"/>
      <c r="IUL23" s="8"/>
      <c r="IUM23" s="8"/>
      <c r="IUN23" s="28"/>
      <c r="IUO23" s="7"/>
      <c r="IUP23" s="8"/>
      <c r="IUQ23" s="7"/>
      <c r="IUR23" s="7"/>
      <c r="IUS23" s="6"/>
      <c r="IUT23" s="7"/>
      <c r="IUU23" s="8"/>
      <c r="IUV23" s="6"/>
      <c r="IUW23" s="8"/>
      <c r="IUX23" s="6"/>
      <c r="IUY23" s="8"/>
      <c r="IUZ23" s="8"/>
      <c r="IVA23" s="6"/>
      <c r="IVB23" s="6"/>
      <c r="IVC23" s="8"/>
      <c r="IVD23" s="8"/>
      <c r="IVE23" s="8"/>
      <c r="IVF23" s="28"/>
      <c r="IVG23" s="7"/>
      <c r="IVH23" s="8"/>
      <c r="IVI23" s="7"/>
      <c r="IVJ23" s="7"/>
      <c r="IVK23" s="6"/>
      <c r="IVL23" s="7"/>
      <c r="IVM23" s="8"/>
      <c r="IVN23" s="6"/>
      <c r="IVO23" s="8"/>
      <c r="IVP23" s="6"/>
      <c r="IVQ23" s="8"/>
      <c r="IVR23" s="8"/>
      <c r="IVS23" s="6"/>
      <c r="IVT23" s="6"/>
      <c r="IVU23" s="8"/>
      <c r="IVV23" s="8"/>
      <c r="IVW23" s="8"/>
      <c r="IVX23" s="28"/>
      <c r="IVY23" s="7"/>
      <c r="IVZ23" s="8"/>
      <c r="IWA23" s="7"/>
      <c r="IWB23" s="7"/>
      <c r="IWC23" s="6"/>
      <c r="IWD23" s="7"/>
      <c r="IWE23" s="8"/>
      <c r="IWF23" s="6"/>
      <c r="IWG23" s="8"/>
      <c r="IWH23" s="6"/>
      <c r="IWI23" s="8"/>
      <c r="IWJ23" s="8"/>
      <c r="IWK23" s="6"/>
      <c r="IWL23" s="6"/>
      <c r="IWM23" s="8"/>
      <c r="IWN23" s="8"/>
      <c r="IWO23" s="8"/>
      <c r="IWP23" s="28"/>
      <c r="IWQ23" s="7"/>
      <c r="IWR23" s="8"/>
      <c r="IWS23" s="7"/>
      <c r="IWT23" s="7"/>
      <c r="IWU23" s="6"/>
      <c r="IWV23" s="7"/>
      <c r="IWW23" s="8"/>
      <c r="IWX23" s="6"/>
      <c r="IWY23" s="8"/>
      <c r="IWZ23" s="6"/>
      <c r="IXA23" s="8"/>
      <c r="IXB23" s="8"/>
      <c r="IXC23" s="6"/>
      <c r="IXD23" s="6"/>
      <c r="IXE23" s="8"/>
      <c r="IXF23" s="8"/>
      <c r="IXG23" s="8"/>
      <c r="IXH23" s="28"/>
      <c r="IXI23" s="7"/>
      <c r="IXJ23" s="8"/>
      <c r="IXK23" s="7"/>
      <c r="IXL23" s="7"/>
      <c r="IXM23" s="6"/>
      <c r="IXN23" s="7"/>
      <c r="IXO23" s="8"/>
      <c r="IXP23" s="6"/>
      <c r="IXQ23" s="8"/>
      <c r="IXR23" s="6"/>
      <c r="IXS23" s="8"/>
      <c r="IXT23" s="8"/>
      <c r="IXU23" s="6"/>
      <c r="IXV23" s="6"/>
      <c r="IXW23" s="8"/>
      <c r="IXX23" s="8"/>
      <c r="IXY23" s="8"/>
      <c r="IXZ23" s="28"/>
      <c r="IYA23" s="7"/>
      <c r="IYB23" s="8"/>
      <c r="IYC23" s="7"/>
      <c r="IYD23" s="7"/>
      <c r="IYE23" s="6"/>
      <c r="IYF23" s="7"/>
      <c r="IYG23" s="8"/>
      <c r="IYH23" s="6"/>
      <c r="IYI23" s="8"/>
      <c r="IYJ23" s="6"/>
      <c r="IYK23" s="8"/>
      <c r="IYL23" s="8"/>
      <c r="IYM23" s="6"/>
      <c r="IYN23" s="6"/>
      <c r="IYO23" s="8"/>
      <c r="IYP23" s="8"/>
      <c r="IYQ23" s="8"/>
      <c r="IYR23" s="28"/>
      <c r="IYS23" s="7"/>
      <c r="IYT23" s="8"/>
      <c r="IYU23" s="7"/>
      <c r="IYV23" s="7"/>
      <c r="IYW23" s="6"/>
      <c r="IYX23" s="7"/>
      <c r="IYY23" s="8"/>
      <c r="IYZ23" s="6"/>
      <c r="IZA23" s="8"/>
      <c r="IZB23" s="6"/>
      <c r="IZC23" s="8"/>
      <c r="IZD23" s="8"/>
      <c r="IZE23" s="6"/>
      <c r="IZF23" s="6"/>
      <c r="IZG23" s="8"/>
      <c r="IZH23" s="8"/>
      <c r="IZI23" s="8"/>
      <c r="IZJ23" s="28"/>
      <c r="IZK23" s="7"/>
      <c r="IZL23" s="8"/>
      <c r="IZM23" s="7"/>
      <c r="IZN23" s="7"/>
      <c r="IZO23" s="6"/>
      <c r="IZP23" s="7"/>
      <c r="IZQ23" s="8"/>
      <c r="IZR23" s="6"/>
      <c r="IZS23" s="8"/>
      <c r="IZT23" s="6"/>
      <c r="IZU23" s="8"/>
      <c r="IZV23" s="8"/>
      <c r="IZW23" s="6"/>
      <c r="IZX23" s="6"/>
      <c r="IZY23" s="8"/>
      <c r="IZZ23" s="8"/>
      <c r="JAA23" s="8"/>
      <c r="JAB23" s="28"/>
      <c r="JAC23" s="7"/>
      <c r="JAD23" s="8"/>
      <c r="JAE23" s="7"/>
      <c r="JAF23" s="7"/>
      <c r="JAG23" s="6"/>
      <c r="JAH23" s="7"/>
      <c r="JAI23" s="8"/>
      <c r="JAJ23" s="6"/>
      <c r="JAK23" s="8"/>
      <c r="JAL23" s="6"/>
      <c r="JAM23" s="8"/>
      <c r="JAN23" s="8"/>
      <c r="JAO23" s="6"/>
      <c r="JAP23" s="6"/>
      <c r="JAQ23" s="8"/>
      <c r="JAR23" s="8"/>
      <c r="JAS23" s="8"/>
      <c r="JAT23" s="28"/>
      <c r="JAU23" s="7"/>
      <c r="JAV23" s="8"/>
      <c r="JAW23" s="7"/>
      <c r="JAX23" s="7"/>
      <c r="JAY23" s="6"/>
      <c r="JAZ23" s="7"/>
      <c r="JBA23" s="8"/>
      <c r="JBB23" s="6"/>
      <c r="JBC23" s="8"/>
      <c r="JBD23" s="6"/>
      <c r="JBE23" s="8"/>
      <c r="JBF23" s="8"/>
      <c r="JBG23" s="6"/>
      <c r="JBH23" s="6"/>
      <c r="JBI23" s="8"/>
      <c r="JBJ23" s="8"/>
      <c r="JBK23" s="8"/>
      <c r="JBL23" s="28"/>
      <c r="JBM23" s="7"/>
      <c r="JBN23" s="8"/>
      <c r="JBO23" s="7"/>
      <c r="JBP23" s="7"/>
      <c r="JBQ23" s="6"/>
      <c r="JBR23" s="7"/>
      <c r="JBS23" s="8"/>
      <c r="JBT23" s="6"/>
      <c r="JBU23" s="8"/>
      <c r="JBV23" s="6"/>
      <c r="JBW23" s="8"/>
      <c r="JBX23" s="8"/>
      <c r="JBY23" s="6"/>
      <c r="JBZ23" s="6"/>
      <c r="JCA23" s="8"/>
      <c r="JCB23" s="8"/>
      <c r="JCC23" s="8"/>
      <c r="JCD23" s="28"/>
      <c r="JCE23" s="7"/>
      <c r="JCF23" s="8"/>
      <c r="JCG23" s="7"/>
      <c r="JCH23" s="7"/>
      <c r="JCI23" s="6"/>
      <c r="JCJ23" s="7"/>
      <c r="JCK23" s="8"/>
      <c r="JCL23" s="6"/>
      <c r="JCM23" s="8"/>
      <c r="JCN23" s="6"/>
      <c r="JCO23" s="8"/>
      <c r="JCP23" s="8"/>
      <c r="JCQ23" s="6"/>
      <c r="JCR23" s="6"/>
      <c r="JCS23" s="8"/>
      <c r="JCT23" s="8"/>
      <c r="JCU23" s="8"/>
      <c r="JCV23" s="28"/>
      <c r="JCW23" s="7"/>
      <c r="JCX23" s="8"/>
      <c r="JCY23" s="7"/>
      <c r="JCZ23" s="7"/>
      <c r="JDA23" s="6"/>
      <c r="JDB23" s="7"/>
      <c r="JDC23" s="8"/>
      <c r="JDD23" s="6"/>
      <c r="JDE23" s="8"/>
      <c r="JDF23" s="6"/>
      <c r="JDG23" s="8"/>
      <c r="JDH23" s="8"/>
      <c r="JDI23" s="6"/>
      <c r="JDJ23" s="6"/>
      <c r="JDK23" s="8"/>
      <c r="JDL23" s="8"/>
      <c r="JDM23" s="8"/>
      <c r="JDN23" s="28"/>
      <c r="JDO23" s="7"/>
      <c r="JDP23" s="8"/>
      <c r="JDQ23" s="7"/>
      <c r="JDR23" s="7"/>
      <c r="JDS23" s="6"/>
      <c r="JDT23" s="7"/>
      <c r="JDU23" s="8"/>
      <c r="JDV23" s="6"/>
      <c r="JDW23" s="8"/>
      <c r="JDX23" s="6"/>
      <c r="JDY23" s="8"/>
      <c r="JDZ23" s="8"/>
      <c r="JEA23" s="6"/>
      <c r="JEB23" s="6"/>
      <c r="JEC23" s="8"/>
      <c r="JED23" s="8"/>
      <c r="JEE23" s="8"/>
      <c r="JEF23" s="28"/>
      <c r="JEG23" s="7"/>
      <c r="JEH23" s="8"/>
      <c r="JEI23" s="7"/>
      <c r="JEJ23" s="7"/>
      <c r="JEK23" s="6"/>
      <c r="JEL23" s="7"/>
      <c r="JEM23" s="8"/>
      <c r="JEN23" s="6"/>
      <c r="JEO23" s="8"/>
      <c r="JEP23" s="6"/>
      <c r="JEQ23" s="8"/>
      <c r="JER23" s="8"/>
      <c r="JES23" s="6"/>
      <c r="JET23" s="6"/>
      <c r="JEU23" s="8"/>
      <c r="JEV23" s="8"/>
      <c r="JEW23" s="8"/>
      <c r="JEX23" s="28"/>
      <c r="JEY23" s="7"/>
      <c r="JEZ23" s="8"/>
      <c r="JFA23" s="7"/>
      <c r="JFB23" s="7"/>
      <c r="JFC23" s="6"/>
      <c r="JFD23" s="7"/>
      <c r="JFE23" s="8"/>
      <c r="JFF23" s="6"/>
      <c r="JFG23" s="8"/>
      <c r="JFH23" s="6"/>
      <c r="JFI23" s="8"/>
      <c r="JFJ23" s="8"/>
      <c r="JFK23" s="6"/>
      <c r="JFL23" s="6"/>
      <c r="JFM23" s="8"/>
      <c r="JFN23" s="8"/>
      <c r="JFO23" s="8"/>
      <c r="JFP23" s="28"/>
      <c r="JFQ23" s="7"/>
      <c r="JFR23" s="8"/>
      <c r="JFS23" s="7"/>
      <c r="JFT23" s="7"/>
      <c r="JFU23" s="6"/>
      <c r="JFV23" s="7"/>
      <c r="JFW23" s="8"/>
      <c r="JFX23" s="6"/>
      <c r="JFY23" s="8"/>
      <c r="JFZ23" s="6"/>
      <c r="JGA23" s="8"/>
      <c r="JGB23" s="8"/>
      <c r="JGC23" s="6"/>
      <c r="JGD23" s="6"/>
      <c r="JGE23" s="8"/>
      <c r="JGF23" s="8"/>
      <c r="JGG23" s="8"/>
      <c r="JGH23" s="28"/>
      <c r="JGI23" s="7"/>
      <c r="JGJ23" s="8"/>
      <c r="JGK23" s="7"/>
      <c r="JGL23" s="7"/>
      <c r="JGM23" s="6"/>
      <c r="JGN23" s="7"/>
      <c r="JGO23" s="8"/>
      <c r="JGP23" s="6"/>
      <c r="JGQ23" s="8"/>
      <c r="JGR23" s="6"/>
      <c r="JGS23" s="8"/>
      <c r="JGT23" s="8"/>
      <c r="JGU23" s="6"/>
      <c r="JGV23" s="6"/>
      <c r="JGW23" s="8"/>
      <c r="JGX23" s="8"/>
      <c r="JGY23" s="8"/>
      <c r="JGZ23" s="28"/>
      <c r="JHA23" s="7"/>
      <c r="JHB23" s="8"/>
      <c r="JHC23" s="7"/>
      <c r="JHD23" s="7"/>
      <c r="JHE23" s="6"/>
      <c r="JHF23" s="7"/>
      <c r="JHG23" s="8"/>
      <c r="JHH23" s="6"/>
      <c r="JHI23" s="8"/>
      <c r="JHJ23" s="6"/>
      <c r="JHK23" s="8"/>
      <c r="JHL23" s="8"/>
      <c r="JHM23" s="6"/>
      <c r="JHN23" s="6"/>
      <c r="JHO23" s="8"/>
      <c r="JHP23" s="8"/>
      <c r="JHQ23" s="8"/>
      <c r="JHR23" s="28"/>
      <c r="JHS23" s="7"/>
      <c r="JHT23" s="8"/>
      <c r="JHU23" s="7"/>
      <c r="JHV23" s="7"/>
      <c r="JHW23" s="6"/>
      <c r="JHX23" s="7"/>
      <c r="JHY23" s="8"/>
      <c r="JHZ23" s="6"/>
      <c r="JIA23" s="8"/>
      <c r="JIB23" s="6"/>
      <c r="JIC23" s="8"/>
      <c r="JID23" s="8"/>
      <c r="JIE23" s="6"/>
      <c r="JIF23" s="6"/>
      <c r="JIG23" s="8"/>
      <c r="JIH23" s="8"/>
      <c r="JII23" s="8"/>
      <c r="JIJ23" s="28"/>
      <c r="JIK23" s="7"/>
      <c r="JIL23" s="8"/>
      <c r="JIM23" s="7"/>
      <c r="JIN23" s="7"/>
      <c r="JIO23" s="6"/>
      <c r="JIP23" s="7"/>
      <c r="JIQ23" s="8"/>
      <c r="JIR23" s="6"/>
      <c r="JIS23" s="8"/>
      <c r="JIT23" s="6"/>
      <c r="JIU23" s="8"/>
      <c r="JIV23" s="8"/>
      <c r="JIW23" s="6"/>
      <c r="JIX23" s="6"/>
      <c r="JIY23" s="8"/>
      <c r="JIZ23" s="8"/>
      <c r="JJA23" s="8"/>
      <c r="JJB23" s="28"/>
      <c r="JJC23" s="7"/>
      <c r="JJD23" s="8"/>
      <c r="JJE23" s="7"/>
      <c r="JJF23" s="7"/>
      <c r="JJG23" s="6"/>
      <c r="JJH23" s="7"/>
      <c r="JJI23" s="8"/>
      <c r="JJJ23" s="6"/>
      <c r="JJK23" s="8"/>
      <c r="JJL23" s="6"/>
      <c r="JJM23" s="8"/>
      <c r="JJN23" s="8"/>
      <c r="JJO23" s="6"/>
      <c r="JJP23" s="6"/>
      <c r="JJQ23" s="8"/>
      <c r="JJR23" s="8"/>
      <c r="JJS23" s="8"/>
      <c r="JJT23" s="28"/>
      <c r="JJU23" s="7"/>
      <c r="JJV23" s="8"/>
      <c r="JJW23" s="7"/>
      <c r="JJX23" s="7"/>
      <c r="JJY23" s="6"/>
      <c r="JJZ23" s="7"/>
      <c r="JKA23" s="8"/>
      <c r="JKB23" s="6"/>
      <c r="JKC23" s="8"/>
      <c r="JKD23" s="6"/>
      <c r="JKE23" s="8"/>
      <c r="JKF23" s="8"/>
      <c r="JKG23" s="6"/>
      <c r="JKH23" s="6"/>
      <c r="JKI23" s="8"/>
      <c r="JKJ23" s="8"/>
      <c r="JKK23" s="8"/>
      <c r="JKL23" s="28"/>
      <c r="JKM23" s="7"/>
      <c r="JKN23" s="8"/>
      <c r="JKO23" s="7"/>
      <c r="JKP23" s="7"/>
      <c r="JKQ23" s="6"/>
      <c r="JKR23" s="7"/>
      <c r="JKS23" s="8"/>
      <c r="JKT23" s="6"/>
      <c r="JKU23" s="8"/>
      <c r="JKV23" s="6"/>
      <c r="JKW23" s="8"/>
      <c r="JKX23" s="8"/>
      <c r="JKY23" s="6"/>
      <c r="JKZ23" s="6"/>
      <c r="JLA23" s="8"/>
      <c r="JLB23" s="8"/>
      <c r="JLC23" s="8"/>
      <c r="JLD23" s="28"/>
      <c r="JLE23" s="7"/>
      <c r="JLF23" s="8"/>
      <c r="JLG23" s="7"/>
      <c r="JLH23" s="7"/>
      <c r="JLI23" s="6"/>
      <c r="JLJ23" s="7"/>
      <c r="JLK23" s="8"/>
      <c r="JLL23" s="6"/>
      <c r="JLM23" s="8"/>
      <c r="JLN23" s="6"/>
      <c r="JLO23" s="8"/>
      <c r="JLP23" s="8"/>
      <c r="JLQ23" s="6"/>
      <c r="JLR23" s="6"/>
      <c r="JLS23" s="8"/>
      <c r="JLT23" s="8"/>
      <c r="JLU23" s="8"/>
      <c r="JLV23" s="28"/>
      <c r="JLW23" s="7"/>
      <c r="JLX23" s="8"/>
      <c r="JLY23" s="7"/>
      <c r="JLZ23" s="7"/>
      <c r="JMA23" s="6"/>
      <c r="JMB23" s="7"/>
      <c r="JMC23" s="8"/>
      <c r="JMD23" s="6"/>
      <c r="JME23" s="8"/>
      <c r="JMF23" s="6"/>
      <c r="JMG23" s="8"/>
      <c r="JMH23" s="8"/>
      <c r="JMI23" s="6"/>
      <c r="JMJ23" s="6"/>
      <c r="JMK23" s="8"/>
      <c r="JML23" s="8"/>
      <c r="JMM23" s="8"/>
      <c r="JMN23" s="28"/>
      <c r="JMO23" s="7"/>
      <c r="JMP23" s="8"/>
      <c r="JMQ23" s="7"/>
      <c r="JMR23" s="7"/>
      <c r="JMS23" s="6"/>
      <c r="JMT23" s="7"/>
      <c r="JMU23" s="8"/>
      <c r="JMV23" s="6"/>
      <c r="JMW23" s="8"/>
      <c r="JMX23" s="6"/>
      <c r="JMY23" s="8"/>
      <c r="JMZ23" s="8"/>
      <c r="JNA23" s="6"/>
      <c r="JNB23" s="6"/>
      <c r="JNC23" s="8"/>
      <c r="JND23" s="8"/>
      <c r="JNE23" s="8"/>
      <c r="JNF23" s="28"/>
      <c r="JNG23" s="7"/>
      <c r="JNH23" s="8"/>
      <c r="JNI23" s="7"/>
      <c r="JNJ23" s="7"/>
      <c r="JNK23" s="6"/>
      <c r="JNL23" s="7"/>
      <c r="JNM23" s="8"/>
      <c r="JNN23" s="6"/>
      <c r="JNO23" s="8"/>
      <c r="JNP23" s="6"/>
      <c r="JNQ23" s="8"/>
      <c r="JNR23" s="8"/>
      <c r="JNS23" s="6"/>
      <c r="JNT23" s="6"/>
      <c r="JNU23" s="8"/>
      <c r="JNV23" s="8"/>
      <c r="JNW23" s="8"/>
      <c r="JNX23" s="28"/>
      <c r="JNY23" s="7"/>
      <c r="JNZ23" s="8"/>
      <c r="JOA23" s="7"/>
      <c r="JOB23" s="7"/>
      <c r="JOC23" s="6"/>
      <c r="JOD23" s="7"/>
      <c r="JOE23" s="8"/>
      <c r="JOF23" s="6"/>
      <c r="JOG23" s="8"/>
      <c r="JOH23" s="6"/>
      <c r="JOI23" s="8"/>
      <c r="JOJ23" s="8"/>
      <c r="JOK23" s="6"/>
      <c r="JOL23" s="6"/>
      <c r="JOM23" s="8"/>
      <c r="JON23" s="8"/>
      <c r="JOO23" s="8"/>
      <c r="JOP23" s="28"/>
      <c r="JOQ23" s="7"/>
      <c r="JOR23" s="8"/>
      <c r="JOS23" s="7"/>
      <c r="JOT23" s="7"/>
      <c r="JOU23" s="6"/>
      <c r="JOV23" s="7"/>
      <c r="JOW23" s="8"/>
      <c r="JOX23" s="6"/>
      <c r="JOY23" s="8"/>
      <c r="JOZ23" s="6"/>
      <c r="JPA23" s="8"/>
      <c r="JPB23" s="8"/>
      <c r="JPC23" s="6"/>
      <c r="JPD23" s="6"/>
      <c r="JPE23" s="8"/>
      <c r="JPF23" s="8"/>
      <c r="JPG23" s="8"/>
      <c r="JPH23" s="28"/>
      <c r="JPI23" s="7"/>
      <c r="JPJ23" s="8"/>
      <c r="JPK23" s="7"/>
      <c r="JPL23" s="7"/>
      <c r="JPM23" s="6"/>
      <c r="JPN23" s="7"/>
      <c r="JPO23" s="8"/>
      <c r="JPP23" s="6"/>
      <c r="JPQ23" s="8"/>
      <c r="JPR23" s="6"/>
      <c r="JPS23" s="8"/>
      <c r="JPT23" s="8"/>
      <c r="JPU23" s="6"/>
      <c r="JPV23" s="6"/>
      <c r="JPW23" s="8"/>
      <c r="JPX23" s="8"/>
      <c r="JPY23" s="8"/>
      <c r="JPZ23" s="28"/>
      <c r="JQA23" s="7"/>
      <c r="JQB23" s="8"/>
      <c r="JQC23" s="7"/>
      <c r="JQD23" s="7"/>
      <c r="JQE23" s="6"/>
      <c r="JQF23" s="7"/>
      <c r="JQG23" s="8"/>
      <c r="JQH23" s="6"/>
      <c r="JQI23" s="8"/>
      <c r="JQJ23" s="6"/>
      <c r="JQK23" s="8"/>
      <c r="JQL23" s="8"/>
      <c r="JQM23" s="6"/>
      <c r="JQN23" s="6"/>
      <c r="JQO23" s="8"/>
      <c r="JQP23" s="8"/>
      <c r="JQQ23" s="8"/>
      <c r="JQR23" s="28"/>
      <c r="JQS23" s="7"/>
      <c r="JQT23" s="8"/>
      <c r="JQU23" s="7"/>
      <c r="JQV23" s="7"/>
      <c r="JQW23" s="6"/>
      <c r="JQX23" s="7"/>
      <c r="JQY23" s="8"/>
      <c r="JQZ23" s="6"/>
      <c r="JRA23" s="8"/>
      <c r="JRB23" s="6"/>
      <c r="JRC23" s="8"/>
      <c r="JRD23" s="8"/>
      <c r="JRE23" s="6"/>
      <c r="JRF23" s="6"/>
      <c r="JRG23" s="8"/>
      <c r="JRH23" s="8"/>
      <c r="JRI23" s="8"/>
      <c r="JRJ23" s="28"/>
      <c r="JRK23" s="7"/>
      <c r="JRL23" s="8"/>
      <c r="JRM23" s="7"/>
      <c r="JRN23" s="7"/>
      <c r="JRO23" s="6"/>
      <c r="JRP23" s="7"/>
      <c r="JRQ23" s="8"/>
      <c r="JRR23" s="6"/>
      <c r="JRS23" s="8"/>
      <c r="JRT23" s="6"/>
      <c r="JRU23" s="8"/>
      <c r="JRV23" s="8"/>
      <c r="JRW23" s="6"/>
      <c r="JRX23" s="6"/>
      <c r="JRY23" s="8"/>
      <c r="JRZ23" s="8"/>
      <c r="JSA23" s="8"/>
      <c r="JSB23" s="28"/>
      <c r="JSC23" s="7"/>
      <c r="JSD23" s="8"/>
      <c r="JSE23" s="7"/>
      <c r="JSF23" s="7"/>
      <c r="JSG23" s="6"/>
      <c r="JSH23" s="7"/>
      <c r="JSI23" s="8"/>
      <c r="JSJ23" s="6"/>
      <c r="JSK23" s="8"/>
      <c r="JSL23" s="6"/>
      <c r="JSM23" s="8"/>
      <c r="JSN23" s="8"/>
      <c r="JSO23" s="6"/>
      <c r="JSP23" s="6"/>
      <c r="JSQ23" s="8"/>
      <c r="JSR23" s="8"/>
      <c r="JSS23" s="8"/>
      <c r="JST23" s="28"/>
      <c r="JSU23" s="7"/>
      <c r="JSV23" s="8"/>
      <c r="JSW23" s="7"/>
      <c r="JSX23" s="7"/>
      <c r="JSY23" s="6"/>
      <c r="JSZ23" s="7"/>
      <c r="JTA23" s="8"/>
      <c r="JTB23" s="6"/>
      <c r="JTC23" s="8"/>
      <c r="JTD23" s="6"/>
      <c r="JTE23" s="8"/>
      <c r="JTF23" s="8"/>
      <c r="JTG23" s="6"/>
      <c r="JTH23" s="6"/>
      <c r="JTI23" s="8"/>
      <c r="JTJ23" s="8"/>
      <c r="JTK23" s="8"/>
      <c r="JTL23" s="28"/>
      <c r="JTM23" s="7"/>
      <c r="JTN23" s="8"/>
      <c r="JTO23" s="7"/>
      <c r="JTP23" s="7"/>
      <c r="JTQ23" s="6"/>
      <c r="JTR23" s="7"/>
      <c r="JTS23" s="8"/>
      <c r="JTT23" s="6"/>
      <c r="JTU23" s="8"/>
      <c r="JTV23" s="6"/>
      <c r="JTW23" s="8"/>
      <c r="JTX23" s="8"/>
      <c r="JTY23" s="6"/>
      <c r="JTZ23" s="6"/>
      <c r="JUA23" s="8"/>
      <c r="JUB23" s="8"/>
      <c r="JUC23" s="8"/>
      <c r="JUD23" s="28"/>
      <c r="JUE23" s="7"/>
      <c r="JUF23" s="8"/>
      <c r="JUG23" s="7"/>
      <c r="JUH23" s="7"/>
      <c r="JUI23" s="6"/>
      <c r="JUJ23" s="7"/>
      <c r="JUK23" s="8"/>
      <c r="JUL23" s="6"/>
      <c r="JUM23" s="8"/>
      <c r="JUN23" s="6"/>
      <c r="JUO23" s="8"/>
      <c r="JUP23" s="8"/>
      <c r="JUQ23" s="6"/>
      <c r="JUR23" s="6"/>
      <c r="JUS23" s="8"/>
      <c r="JUT23" s="8"/>
      <c r="JUU23" s="8"/>
      <c r="JUV23" s="28"/>
      <c r="JUW23" s="7"/>
      <c r="JUX23" s="8"/>
      <c r="JUY23" s="7"/>
      <c r="JUZ23" s="7"/>
      <c r="JVA23" s="6"/>
      <c r="JVB23" s="7"/>
      <c r="JVC23" s="8"/>
      <c r="JVD23" s="6"/>
      <c r="JVE23" s="8"/>
      <c r="JVF23" s="6"/>
      <c r="JVG23" s="8"/>
      <c r="JVH23" s="8"/>
      <c r="JVI23" s="6"/>
      <c r="JVJ23" s="6"/>
      <c r="JVK23" s="8"/>
      <c r="JVL23" s="8"/>
      <c r="JVM23" s="8"/>
      <c r="JVN23" s="28"/>
      <c r="JVO23" s="7"/>
      <c r="JVP23" s="8"/>
      <c r="JVQ23" s="7"/>
      <c r="JVR23" s="7"/>
      <c r="JVS23" s="6"/>
      <c r="JVT23" s="7"/>
      <c r="JVU23" s="8"/>
      <c r="JVV23" s="6"/>
      <c r="JVW23" s="8"/>
      <c r="JVX23" s="6"/>
      <c r="JVY23" s="8"/>
      <c r="JVZ23" s="8"/>
      <c r="JWA23" s="6"/>
      <c r="JWB23" s="6"/>
      <c r="JWC23" s="8"/>
      <c r="JWD23" s="8"/>
      <c r="JWE23" s="8"/>
      <c r="JWF23" s="28"/>
      <c r="JWG23" s="7"/>
      <c r="JWH23" s="8"/>
      <c r="JWI23" s="7"/>
      <c r="JWJ23" s="7"/>
      <c r="JWK23" s="6"/>
      <c r="JWL23" s="7"/>
      <c r="JWM23" s="8"/>
      <c r="JWN23" s="6"/>
      <c r="JWO23" s="8"/>
      <c r="JWP23" s="6"/>
      <c r="JWQ23" s="8"/>
      <c r="JWR23" s="8"/>
      <c r="JWS23" s="6"/>
      <c r="JWT23" s="6"/>
      <c r="JWU23" s="8"/>
      <c r="JWV23" s="8"/>
      <c r="JWW23" s="8"/>
      <c r="JWX23" s="28"/>
      <c r="JWY23" s="7"/>
      <c r="JWZ23" s="8"/>
      <c r="JXA23" s="7"/>
      <c r="JXB23" s="7"/>
      <c r="JXC23" s="6"/>
      <c r="JXD23" s="7"/>
      <c r="JXE23" s="8"/>
      <c r="JXF23" s="6"/>
      <c r="JXG23" s="8"/>
      <c r="JXH23" s="6"/>
      <c r="JXI23" s="8"/>
      <c r="JXJ23" s="8"/>
      <c r="JXK23" s="6"/>
      <c r="JXL23" s="6"/>
      <c r="JXM23" s="8"/>
      <c r="JXN23" s="8"/>
      <c r="JXO23" s="8"/>
      <c r="JXP23" s="28"/>
      <c r="JXQ23" s="7"/>
      <c r="JXR23" s="8"/>
      <c r="JXS23" s="7"/>
      <c r="JXT23" s="7"/>
      <c r="JXU23" s="6"/>
      <c r="JXV23" s="7"/>
      <c r="JXW23" s="8"/>
      <c r="JXX23" s="6"/>
      <c r="JXY23" s="8"/>
      <c r="JXZ23" s="6"/>
      <c r="JYA23" s="8"/>
      <c r="JYB23" s="8"/>
      <c r="JYC23" s="6"/>
      <c r="JYD23" s="6"/>
      <c r="JYE23" s="8"/>
      <c r="JYF23" s="8"/>
      <c r="JYG23" s="8"/>
      <c r="JYH23" s="28"/>
      <c r="JYI23" s="7"/>
      <c r="JYJ23" s="8"/>
      <c r="JYK23" s="7"/>
      <c r="JYL23" s="7"/>
      <c r="JYM23" s="6"/>
      <c r="JYN23" s="7"/>
      <c r="JYO23" s="8"/>
      <c r="JYP23" s="6"/>
      <c r="JYQ23" s="8"/>
      <c r="JYR23" s="6"/>
      <c r="JYS23" s="8"/>
      <c r="JYT23" s="8"/>
      <c r="JYU23" s="6"/>
      <c r="JYV23" s="6"/>
      <c r="JYW23" s="8"/>
      <c r="JYX23" s="8"/>
      <c r="JYY23" s="8"/>
      <c r="JYZ23" s="28"/>
      <c r="JZA23" s="7"/>
      <c r="JZB23" s="8"/>
      <c r="JZC23" s="7"/>
      <c r="JZD23" s="7"/>
      <c r="JZE23" s="6"/>
      <c r="JZF23" s="7"/>
      <c r="JZG23" s="8"/>
      <c r="JZH23" s="6"/>
      <c r="JZI23" s="8"/>
      <c r="JZJ23" s="6"/>
      <c r="JZK23" s="8"/>
      <c r="JZL23" s="8"/>
      <c r="JZM23" s="6"/>
      <c r="JZN23" s="6"/>
      <c r="JZO23" s="8"/>
      <c r="JZP23" s="8"/>
      <c r="JZQ23" s="8"/>
      <c r="JZR23" s="28"/>
      <c r="JZS23" s="7"/>
      <c r="JZT23" s="8"/>
      <c r="JZU23" s="7"/>
      <c r="JZV23" s="7"/>
      <c r="JZW23" s="6"/>
      <c r="JZX23" s="7"/>
      <c r="JZY23" s="8"/>
      <c r="JZZ23" s="6"/>
      <c r="KAA23" s="8"/>
      <c r="KAB23" s="6"/>
      <c r="KAC23" s="8"/>
      <c r="KAD23" s="8"/>
      <c r="KAE23" s="6"/>
      <c r="KAF23" s="6"/>
      <c r="KAG23" s="8"/>
      <c r="KAH23" s="8"/>
      <c r="KAI23" s="8"/>
      <c r="KAJ23" s="28"/>
      <c r="KAK23" s="7"/>
      <c r="KAL23" s="8"/>
      <c r="KAM23" s="7"/>
      <c r="KAN23" s="7"/>
      <c r="KAO23" s="6"/>
      <c r="KAP23" s="7"/>
      <c r="KAQ23" s="8"/>
      <c r="KAR23" s="6"/>
      <c r="KAS23" s="8"/>
      <c r="KAT23" s="6"/>
      <c r="KAU23" s="8"/>
      <c r="KAV23" s="8"/>
      <c r="KAW23" s="6"/>
      <c r="KAX23" s="6"/>
      <c r="KAY23" s="8"/>
      <c r="KAZ23" s="8"/>
      <c r="KBA23" s="8"/>
      <c r="KBB23" s="28"/>
      <c r="KBC23" s="7"/>
      <c r="KBD23" s="8"/>
      <c r="KBE23" s="7"/>
      <c r="KBF23" s="7"/>
      <c r="KBG23" s="6"/>
      <c r="KBH23" s="7"/>
      <c r="KBI23" s="8"/>
      <c r="KBJ23" s="6"/>
      <c r="KBK23" s="8"/>
      <c r="KBL23" s="6"/>
      <c r="KBM23" s="8"/>
      <c r="KBN23" s="8"/>
      <c r="KBO23" s="6"/>
      <c r="KBP23" s="6"/>
      <c r="KBQ23" s="8"/>
      <c r="KBR23" s="8"/>
      <c r="KBS23" s="8"/>
      <c r="KBT23" s="28"/>
      <c r="KBU23" s="7"/>
      <c r="KBV23" s="8"/>
      <c r="KBW23" s="7"/>
      <c r="KBX23" s="7"/>
      <c r="KBY23" s="6"/>
      <c r="KBZ23" s="7"/>
      <c r="KCA23" s="8"/>
      <c r="KCB23" s="6"/>
      <c r="KCC23" s="8"/>
      <c r="KCD23" s="6"/>
      <c r="KCE23" s="8"/>
      <c r="KCF23" s="8"/>
      <c r="KCG23" s="6"/>
      <c r="KCH23" s="6"/>
      <c r="KCI23" s="8"/>
      <c r="KCJ23" s="8"/>
      <c r="KCK23" s="8"/>
      <c r="KCL23" s="28"/>
      <c r="KCM23" s="7"/>
      <c r="KCN23" s="8"/>
      <c r="KCO23" s="7"/>
      <c r="KCP23" s="7"/>
      <c r="KCQ23" s="6"/>
      <c r="KCR23" s="7"/>
      <c r="KCS23" s="8"/>
      <c r="KCT23" s="6"/>
      <c r="KCU23" s="8"/>
      <c r="KCV23" s="6"/>
      <c r="KCW23" s="8"/>
      <c r="KCX23" s="8"/>
      <c r="KCY23" s="6"/>
      <c r="KCZ23" s="6"/>
      <c r="KDA23" s="8"/>
      <c r="KDB23" s="8"/>
      <c r="KDC23" s="8"/>
      <c r="KDD23" s="28"/>
      <c r="KDE23" s="7"/>
      <c r="KDF23" s="8"/>
      <c r="KDG23" s="7"/>
      <c r="KDH23" s="7"/>
      <c r="KDI23" s="6"/>
      <c r="KDJ23" s="7"/>
      <c r="KDK23" s="8"/>
      <c r="KDL23" s="6"/>
      <c r="KDM23" s="8"/>
      <c r="KDN23" s="6"/>
      <c r="KDO23" s="8"/>
      <c r="KDP23" s="8"/>
      <c r="KDQ23" s="6"/>
      <c r="KDR23" s="6"/>
      <c r="KDS23" s="8"/>
      <c r="KDT23" s="8"/>
      <c r="KDU23" s="8"/>
      <c r="KDV23" s="28"/>
      <c r="KDW23" s="7"/>
      <c r="KDX23" s="8"/>
      <c r="KDY23" s="7"/>
      <c r="KDZ23" s="7"/>
      <c r="KEA23" s="6"/>
      <c r="KEB23" s="7"/>
      <c r="KEC23" s="8"/>
      <c r="KED23" s="6"/>
      <c r="KEE23" s="8"/>
      <c r="KEF23" s="6"/>
      <c r="KEG23" s="8"/>
      <c r="KEH23" s="8"/>
      <c r="KEI23" s="6"/>
      <c r="KEJ23" s="6"/>
      <c r="KEK23" s="8"/>
      <c r="KEL23" s="8"/>
      <c r="KEM23" s="8"/>
      <c r="KEN23" s="28"/>
      <c r="KEO23" s="7"/>
      <c r="KEP23" s="8"/>
      <c r="KEQ23" s="7"/>
      <c r="KER23" s="7"/>
      <c r="KES23" s="6"/>
      <c r="KET23" s="7"/>
      <c r="KEU23" s="8"/>
      <c r="KEV23" s="6"/>
      <c r="KEW23" s="8"/>
      <c r="KEX23" s="6"/>
      <c r="KEY23" s="8"/>
      <c r="KEZ23" s="8"/>
      <c r="KFA23" s="6"/>
      <c r="KFB23" s="6"/>
      <c r="KFC23" s="8"/>
      <c r="KFD23" s="8"/>
      <c r="KFE23" s="8"/>
      <c r="KFF23" s="28"/>
      <c r="KFG23" s="7"/>
      <c r="KFH23" s="8"/>
      <c r="KFI23" s="7"/>
      <c r="KFJ23" s="7"/>
      <c r="KFK23" s="6"/>
      <c r="KFL23" s="7"/>
      <c r="KFM23" s="8"/>
      <c r="KFN23" s="6"/>
      <c r="KFO23" s="8"/>
      <c r="KFP23" s="6"/>
      <c r="KFQ23" s="8"/>
      <c r="KFR23" s="8"/>
      <c r="KFS23" s="6"/>
      <c r="KFT23" s="6"/>
      <c r="KFU23" s="8"/>
      <c r="KFV23" s="8"/>
      <c r="KFW23" s="8"/>
      <c r="KFX23" s="28"/>
      <c r="KFY23" s="7"/>
      <c r="KFZ23" s="8"/>
      <c r="KGA23" s="7"/>
      <c r="KGB23" s="7"/>
      <c r="KGC23" s="6"/>
      <c r="KGD23" s="7"/>
      <c r="KGE23" s="8"/>
      <c r="KGF23" s="6"/>
      <c r="KGG23" s="8"/>
      <c r="KGH23" s="6"/>
      <c r="KGI23" s="8"/>
      <c r="KGJ23" s="8"/>
      <c r="KGK23" s="6"/>
      <c r="KGL23" s="6"/>
      <c r="KGM23" s="8"/>
      <c r="KGN23" s="8"/>
      <c r="KGO23" s="8"/>
      <c r="KGP23" s="28"/>
      <c r="KGQ23" s="7"/>
      <c r="KGR23" s="8"/>
      <c r="KGS23" s="7"/>
      <c r="KGT23" s="7"/>
      <c r="KGU23" s="6"/>
      <c r="KGV23" s="7"/>
      <c r="KGW23" s="8"/>
      <c r="KGX23" s="6"/>
      <c r="KGY23" s="8"/>
      <c r="KGZ23" s="6"/>
      <c r="KHA23" s="8"/>
      <c r="KHB23" s="8"/>
      <c r="KHC23" s="6"/>
      <c r="KHD23" s="6"/>
      <c r="KHE23" s="8"/>
      <c r="KHF23" s="8"/>
      <c r="KHG23" s="8"/>
      <c r="KHH23" s="28"/>
      <c r="KHI23" s="7"/>
      <c r="KHJ23" s="8"/>
      <c r="KHK23" s="7"/>
      <c r="KHL23" s="7"/>
      <c r="KHM23" s="6"/>
      <c r="KHN23" s="7"/>
      <c r="KHO23" s="8"/>
      <c r="KHP23" s="6"/>
      <c r="KHQ23" s="8"/>
      <c r="KHR23" s="6"/>
      <c r="KHS23" s="8"/>
      <c r="KHT23" s="8"/>
      <c r="KHU23" s="6"/>
      <c r="KHV23" s="6"/>
      <c r="KHW23" s="8"/>
      <c r="KHX23" s="8"/>
      <c r="KHY23" s="8"/>
      <c r="KHZ23" s="28"/>
      <c r="KIA23" s="7"/>
      <c r="KIB23" s="8"/>
      <c r="KIC23" s="7"/>
      <c r="KID23" s="7"/>
      <c r="KIE23" s="6"/>
      <c r="KIF23" s="7"/>
      <c r="KIG23" s="8"/>
      <c r="KIH23" s="6"/>
      <c r="KII23" s="8"/>
      <c r="KIJ23" s="6"/>
      <c r="KIK23" s="8"/>
      <c r="KIL23" s="8"/>
      <c r="KIM23" s="6"/>
      <c r="KIN23" s="6"/>
      <c r="KIO23" s="8"/>
      <c r="KIP23" s="8"/>
      <c r="KIQ23" s="8"/>
      <c r="KIR23" s="28"/>
      <c r="KIS23" s="7"/>
      <c r="KIT23" s="8"/>
      <c r="KIU23" s="7"/>
      <c r="KIV23" s="7"/>
      <c r="KIW23" s="6"/>
      <c r="KIX23" s="7"/>
      <c r="KIY23" s="8"/>
      <c r="KIZ23" s="6"/>
      <c r="KJA23" s="8"/>
      <c r="KJB23" s="6"/>
      <c r="KJC23" s="8"/>
      <c r="KJD23" s="8"/>
      <c r="KJE23" s="6"/>
      <c r="KJF23" s="6"/>
      <c r="KJG23" s="8"/>
      <c r="KJH23" s="8"/>
      <c r="KJI23" s="8"/>
      <c r="KJJ23" s="28"/>
      <c r="KJK23" s="7"/>
      <c r="KJL23" s="8"/>
      <c r="KJM23" s="7"/>
      <c r="KJN23" s="7"/>
      <c r="KJO23" s="6"/>
      <c r="KJP23" s="7"/>
      <c r="KJQ23" s="8"/>
      <c r="KJR23" s="6"/>
      <c r="KJS23" s="8"/>
      <c r="KJT23" s="6"/>
      <c r="KJU23" s="8"/>
      <c r="KJV23" s="8"/>
      <c r="KJW23" s="6"/>
      <c r="KJX23" s="6"/>
      <c r="KJY23" s="8"/>
      <c r="KJZ23" s="8"/>
      <c r="KKA23" s="8"/>
      <c r="KKB23" s="28"/>
      <c r="KKC23" s="7"/>
      <c r="KKD23" s="8"/>
      <c r="KKE23" s="7"/>
      <c r="KKF23" s="7"/>
      <c r="KKG23" s="6"/>
      <c r="KKH23" s="7"/>
      <c r="KKI23" s="8"/>
      <c r="KKJ23" s="6"/>
      <c r="KKK23" s="8"/>
      <c r="KKL23" s="6"/>
      <c r="KKM23" s="8"/>
      <c r="KKN23" s="8"/>
      <c r="KKO23" s="6"/>
      <c r="KKP23" s="6"/>
      <c r="KKQ23" s="8"/>
      <c r="KKR23" s="8"/>
      <c r="KKS23" s="8"/>
      <c r="KKT23" s="28"/>
      <c r="KKU23" s="7"/>
      <c r="KKV23" s="8"/>
      <c r="KKW23" s="7"/>
      <c r="KKX23" s="7"/>
      <c r="KKY23" s="6"/>
      <c r="KKZ23" s="7"/>
      <c r="KLA23" s="8"/>
      <c r="KLB23" s="6"/>
      <c r="KLC23" s="8"/>
      <c r="KLD23" s="6"/>
      <c r="KLE23" s="8"/>
      <c r="KLF23" s="8"/>
      <c r="KLG23" s="6"/>
      <c r="KLH23" s="6"/>
      <c r="KLI23" s="8"/>
      <c r="KLJ23" s="8"/>
      <c r="KLK23" s="8"/>
      <c r="KLL23" s="28"/>
      <c r="KLM23" s="7"/>
      <c r="KLN23" s="8"/>
      <c r="KLO23" s="7"/>
      <c r="KLP23" s="7"/>
      <c r="KLQ23" s="6"/>
      <c r="KLR23" s="7"/>
      <c r="KLS23" s="8"/>
      <c r="KLT23" s="6"/>
      <c r="KLU23" s="8"/>
      <c r="KLV23" s="6"/>
      <c r="KLW23" s="8"/>
      <c r="KLX23" s="8"/>
      <c r="KLY23" s="6"/>
      <c r="KLZ23" s="6"/>
      <c r="KMA23" s="8"/>
      <c r="KMB23" s="8"/>
      <c r="KMC23" s="8"/>
      <c r="KMD23" s="28"/>
      <c r="KME23" s="7"/>
      <c r="KMF23" s="8"/>
      <c r="KMG23" s="7"/>
      <c r="KMH23" s="7"/>
      <c r="KMI23" s="6"/>
      <c r="KMJ23" s="7"/>
      <c r="KMK23" s="8"/>
      <c r="KML23" s="6"/>
      <c r="KMM23" s="8"/>
      <c r="KMN23" s="6"/>
      <c r="KMO23" s="8"/>
      <c r="KMP23" s="8"/>
      <c r="KMQ23" s="6"/>
      <c r="KMR23" s="6"/>
      <c r="KMS23" s="8"/>
      <c r="KMT23" s="8"/>
      <c r="KMU23" s="8"/>
      <c r="KMV23" s="28"/>
      <c r="KMW23" s="7"/>
      <c r="KMX23" s="8"/>
      <c r="KMY23" s="7"/>
      <c r="KMZ23" s="7"/>
      <c r="KNA23" s="6"/>
      <c r="KNB23" s="7"/>
      <c r="KNC23" s="8"/>
      <c r="KND23" s="6"/>
      <c r="KNE23" s="8"/>
      <c r="KNF23" s="6"/>
      <c r="KNG23" s="8"/>
      <c r="KNH23" s="8"/>
      <c r="KNI23" s="6"/>
      <c r="KNJ23" s="6"/>
      <c r="KNK23" s="8"/>
      <c r="KNL23" s="8"/>
      <c r="KNM23" s="8"/>
      <c r="KNN23" s="28"/>
      <c r="KNO23" s="7"/>
      <c r="KNP23" s="8"/>
      <c r="KNQ23" s="7"/>
      <c r="KNR23" s="7"/>
      <c r="KNS23" s="6"/>
      <c r="KNT23" s="7"/>
      <c r="KNU23" s="8"/>
      <c r="KNV23" s="6"/>
      <c r="KNW23" s="8"/>
      <c r="KNX23" s="6"/>
      <c r="KNY23" s="8"/>
      <c r="KNZ23" s="8"/>
      <c r="KOA23" s="6"/>
      <c r="KOB23" s="6"/>
      <c r="KOC23" s="8"/>
      <c r="KOD23" s="8"/>
      <c r="KOE23" s="8"/>
      <c r="KOF23" s="28"/>
      <c r="KOG23" s="7"/>
      <c r="KOH23" s="8"/>
      <c r="KOI23" s="7"/>
      <c r="KOJ23" s="7"/>
      <c r="KOK23" s="6"/>
      <c r="KOL23" s="7"/>
      <c r="KOM23" s="8"/>
      <c r="KON23" s="6"/>
      <c r="KOO23" s="8"/>
      <c r="KOP23" s="6"/>
      <c r="KOQ23" s="8"/>
      <c r="KOR23" s="8"/>
      <c r="KOS23" s="6"/>
      <c r="KOT23" s="6"/>
      <c r="KOU23" s="8"/>
      <c r="KOV23" s="8"/>
      <c r="KOW23" s="8"/>
      <c r="KOX23" s="28"/>
      <c r="KOY23" s="7"/>
      <c r="KOZ23" s="8"/>
      <c r="KPA23" s="7"/>
      <c r="KPB23" s="7"/>
      <c r="KPC23" s="6"/>
      <c r="KPD23" s="7"/>
      <c r="KPE23" s="8"/>
      <c r="KPF23" s="6"/>
      <c r="KPG23" s="8"/>
      <c r="KPH23" s="6"/>
      <c r="KPI23" s="8"/>
      <c r="KPJ23" s="8"/>
      <c r="KPK23" s="6"/>
      <c r="KPL23" s="6"/>
      <c r="KPM23" s="8"/>
      <c r="KPN23" s="8"/>
      <c r="KPO23" s="8"/>
      <c r="KPP23" s="28"/>
      <c r="KPQ23" s="7"/>
      <c r="KPR23" s="8"/>
      <c r="KPS23" s="7"/>
      <c r="KPT23" s="7"/>
      <c r="KPU23" s="6"/>
      <c r="KPV23" s="7"/>
      <c r="KPW23" s="8"/>
      <c r="KPX23" s="6"/>
      <c r="KPY23" s="8"/>
      <c r="KPZ23" s="6"/>
      <c r="KQA23" s="8"/>
      <c r="KQB23" s="8"/>
      <c r="KQC23" s="6"/>
      <c r="KQD23" s="6"/>
      <c r="KQE23" s="8"/>
      <c r="KQF23" s="8"/>
      <c r="KQG23" s="8"/>
      <c r="KQH23" s="28"/>
      <c r="KQI23" s="7"/>
      <c r="KQJ23" s="8"/>
      <c r="KQK23" s="7"/>
      <c r="KQL23" s="7"/>
      <c r="KQM23" s="6"/>
      <c r="KQN23" s="7"/>
      <c r="KQO23" s="8"/>
      <c r="KQP23" s="6"/>
      <c r="KQQ23" s="8"/>
      <c r="KQR23" s="6"/>
      <c r="KQS23" s="8"/>
      <c r="KQT23" s="8"/>
      <c r="KQU23" s="6"/>
      <c r="KQV23" s="6"/>
      <c r="KQW23" s="8"/>
      <c r="KQX23" s="8"/>
      <c r="KQY23" s="8"/>
      <c r="KQZ23" s="28"/>
      <c r="KRA23" s="7"/>
      <c r="KRB23" s="8"/>
      <c r="KRC23" s="7"/>
      <c r="KRD23" s="7"/>
      <c r="KRE23" s="6"/>
      <c r="KRF23" s="7"/>
      <c r="KRG23" s="8"/>
      <c r="KRH23" s="6"/>
      <c r="KRI23" s="8"/>
      <c r="KRJ23" s="6"/>
      <c r="KRK23" s="8"/>
      <c r="KRL23" s="8"/>
      <c r="KRM23" s="6"/>
      <c r="KRN23" s="6"/>
      <c r="KRO23" s="8"/>
      <c r="KRP23" s="8"/>
      <c r="KRQ23" s="8"/>
      <c r="KRR23" s="28"/>
      <c r="KRS23" s="7"/>
      <c r="KRT23" s="8"/>
      <c r="KRU23" s="7"/>
      <c r="KRV23" s="7"/>
      <c r="KRW23" s="6"/>
      <c r="KRX23" s="7"/>
      <c r="KRY23" s="8"/>
      <c r="KRZ23" s="6"/>
      <c r="KSA23" s="8"/>
      <c r="KSB23" s="6"/>
      <c r="KSC23" s="8"/>
      <c r="KSD23" s="8"/>
      <c r="KSE23" s="6"/>
      <c r="KSF23" s="6"/>
      <c r="KSG23" s="8"/>
      <c r="KSH23" s="8"/>
      <c r="KSI23" s="8"/>
      <c r="KSJ23" s="28"/>
      <c r="KSK23" s="7"/>
      <c r="KSL23" s="8"/>
      <c r="KSM23" s="7"/>
      <c r="KSN23" s="7"/>
      <c r="KSO23" s="6"/>
      <c r="KSP23" s="7"/>
      <c r="KSQ23" s="8"/>
      <c r="KSR23" s="6"/>
      <c r="KSS23" s="8"/>
      <c r="KST23" s="6"/>
      <c r="KSU23" s="8"/>
      <c r="KSV23" s="8"/>
      <c r="KSW23" s="6"/>
      <c r="KSX23" s="6"/>
      <c r="KSY23" s="8"/>
      <c r="KSZ23" s="8"/>
      <c r="KTA23" s="8"/>
      <c r="KTB23" s="28"/>
      <c r="KTC23" s="7"/>
      <c r="KTD23" s="8"/>
      <c r="KTE23" s="7"/>
      <c r="KTF23" s="7"/>
      <c r="KTG23" s="6"/>
      <c r="KTH23" s="7"/>
      <c r="KTI23" s="8"/>
      <c r="KTJ23" s="6"/>
      <c r="KTK23" s="8"/>
      <c r="KTL23" s="6"/>
      <c r="KTM23" s="8"/>
      <c r="KTN23" s="8"/>
      <c r="KTO23" s="6"/>
      <c r="KTP23" s="6"/>
      <c r="KTQ23" s="8"/>
      <c r="KTR23" s="8"/>
      <c r="KTS23" s="8"/>
      <c r="KTT23" s="28"/>
      <c r="KTU23" s="7"/>
      <c r="KTV23" s="8"/>
      <c r="KTW23" s="7"/>
      <c r="KTX23" s="7"/>
      <c r="KTY23" s="6"/>
      <c r="KTZ23" s="7"/>
      <c r="KUA23" s="8"/>
      <c r="KUB23" s="6"/>
      <c r="KUC23" s="8"/>
      <c r="KUD23" s="6"/>
      <c r="KUE23" s="8"/>
      <c r="KUF23" s="8"/>
      <c r="KUG23" s="6"/>
      <c r="KUH23" s="6"/>
      <c r="KUI23" s="8"/>
      <c r="KUJ23" s="8"/>
      <c r="KUK23" s="8"/>
      <c r="KUL23" s="28"/>
      <c r="KUM23" s="7"/>
      <c r="KUN23" s="8"/>
      <c r="KUO23" s="7"/>
      <c r="KUP23" s="7"/>
      <c r="KUQ23" s="6"/>
      <c r="KUR23" s="7"/>
      <c r="KUS23" s="8"/>
      <c r="KUT23" s="6"/>
      <c r="KUU23" s="8"/>
      <c r="KUV23" s="6"/>
      <c r="KUW23" s="8"/>
      <c r="KUX23" s="8"/>
      <c r="KUY23" s="6"/>
      <c r="KUZ23" s="6"/>
      <c r="KVA23" s="8"/>
      <c r="KVB23" s="8"/>
      <c r="KVC23" s="8"/>
      <c r="KVD23" s="28"/>
      <c r="KVE23" s="7"/>
      <c r="KVF23" s="8"/>
      <c r="KVG23" s="7"/>
      <c r="KVH23" s="7"/>
      <c r="KVI23" s="6"/>
      <c r="KVJ23" s="7"/>
      <c r="KVK23" s="8"/>
      <c r="KVL23" s="6"/>
      <c r="KVM23" s="8"/>
      <c r="KVN23" s="6"/>
      <c r="KVO23" s="8"/>
      <c r="KVP23" s="8"/>
      <c r="KVQ23" s="6"/>
      <c r="KVR23" s="6"/>
      <c r="KVS23" s="8"/>
      <c r="KVT23" s="8"/>
      <c r="KVU23" s="8"/>
      <c r="KVV23" s="28"/>
      <c r="KVW23" s="7"/>
      <c r="KVX23" s="8"/>
      <c r="KVY23" s="7"/>
      <c r="KVZ23" s="7"/>
      <c r="KWA23" s="6"/>
      <c r="KWB23" s="7"/>
      <c r="KWC23" s="8"/>
      <c r="KWD23" s="6"/>
      <c r="KWE23" s="8"/>
      <c r="KWF23" s="6"/>
      <c r="KWG23" s="8"/>
      <c r="KWH23" s="8"/>
      <c r="KWI23" s="6"/>
      <c r="KWJ23" s="6"/>
      <c r="KWK23" s="8"/>
      <c r="KWL23" s="8"/>
      <c r="KWM23" s="8"/>
      <c r="KWN23" s="28"/>
      <c r="KWO23" s="7"/>
      <c r="KWP23" s="8"/>
      <c r="KWQ23" s="7"/>
      <c r="KWR23" s="7"/>
      <c r="KWS23" s="6"/>
      <c r="KWT23" s="7"/>
      <c r="KWU23" s="8"/>
      <c r="KWV23" s="6"/>
      <c r="KWW23" s="8"/>
      <c r="KWX23" s="6"/>
      <c r="KWY23" s="8"/>
      <c r="KWZ23" s="8"/>
      <c r="KXA23" s="6"/>
      <c r="KXB23" s="6"/>
      <c r="KXC23" s="8"/>
      <c r="KXD23" s="8"/>
      <c r="KXE23" s="8"/>
      <c r="KXF23" s="28"/>
      <c r="KXG23" s="7"/>
      <c r="KXH23" s="8"/>
      <c r="KXI23" s="7"/>
      <c r="KXJ23" s="7"/>
      <c r="KXK23" s="6"/>
      <c r="KXL23" s="7"/>
      <c r="KXM23" s="8"/>
      <c r="KXN23" s="6"/>
      <c r="KXO23" s="8"/>
      <c r="KXP23" s="6"/>
      <c r="KXQ23" s="8"/>
      <c r="KXR23" s="8"/>
      <c r="KXS23" s="6"/>
      <c r="KXT23" s="6"/>
      <c r="KXU23" s="8"/>
      <c r="KXV23" s="8"/>
      <c r="KXW23" s="8"/>
      <c r="KXX23" s="28"/>
      <c r="KXY23" s="7"/>
      <c r="KXZ23" s="8"/>
      <c r="KYA23" s="7"/>
      <c r="KYB23" s="7"/>
      <c r="KYC23" s="6"/>
      <c r="KYD23" s="7"/>
      <c r="KYE23" s="8"/>
      <c r="KYF23" s="6"/>
      <c r="KYG23" s="8"/>
      <c r="KYH23" s="6"/>
      <c r="KYI23" s="8"/>
      <c r="KYJ23" s="8"/>
      <c r="KYK23" s="6"/>
      <c r="KYL23" s="6"/>
      <c r="KYM23" s="8"/>
      <c r="KYN23" s="8"/>
      <c r="KYO23" s="8"/>
      <c r="KYP23" s="28"/>
      <c r="KYQ23" s="7"/>
      <c r="KYR23" s="8"/>
      <c r="KYS23" s="7"/>
      <c r="KYT23" s="7"/>
      <c r="KYU23" s="6"/>
      <c r="KYV23" s="7"/>
      <c r="KYW23" s="8"/>
      <c r="KYX23" s="6"/>
      <c r="KYY23" s="8"/>
      <c r="KYZ23" s="6"/>
      <c r="KZA23" s="8"/>
      <c r="KZB23" s="8"/>
      <c r="KZC23" s="6"/>
      <c r="KZD23" s="6"/>
      <c r="KZE23" s="8"/>
      <c r="KZF23" s="8"/>
      <c r="KZG23" s="8"/>
      <c r="KZH23" s="28"/>
      <c r="KZI23" s="7"/>
      <c r="KZJ23" s="8"/>
      <c r="KZK23" s="7"/>
      <c r="KZL23" s="7"/>
      <c r="KZM23" s="6"/>
      <c r="KZN23" s="7"/>
      <c r="KZO23" s="8"/>
      <c r="KZP23" s="6"/>
      <c r="KZQ23" s="8"/>
      <c r="KZR23" s="6"/>
      <c r="KZS23" s="8"/>
      <c r="KZT23" s="8"/>
      <c r="KZU23" s="6"/>
      <c r="KZV23" s="6"/>
      <c r="KZW23" s="8"/>
      <c r="KZX23" s="8"/>
      <c r="KZY23" s="8"/>
      <c r="KZZ23" s="28"/>
      <c r="LAA23" s="7"/>
      <c r="LAB23" s="8"/>
      <c r="LAC23" s="7"/>
      <c r="LAD23" s="7"/>
      <c r="LAE23" s="6"/>
      <c r="LAF23" s="7"/>
      <c r="LAG23" s="8"/>
      <c r="LAH23" s="6"/>
      <c r="LAI23" s="8"/>
      <c r="LAJ23" s="6"/>
      <c r="LAK23" s="8"/>
      <c r="LAL23" s="8"/>
      <c r="LAM23" s="6"/>
      <c r="LAN23" s="6"/>
      <c r="LAO23" s="8"/>
      <c r="LAP23" s="8"/>
      <c r="LAQ23" s="8"/>
      <c r="LAR23" s="28"/>
      <c r="LAS23" s="7"/>
      <c r="LAT23" s="8"/>
      <c r="LAU23" s="7"/>
      <c r="LAV23" s="7"/>
      <c r="LAW23" s="6"/>
      <c r="LAX23" s="7"/>
      <c r="LAY23" s="8"/>
      <c r="LAZ23" s="6"/>
      <c r="LBA23" s="8"/>
      <c r="LBB23" s="6"/>
      <c r="LBC23" s="8"/>
      <c r="LBD23" s="8"/>
      <c r="LBE23" s="6"/>
      <c r="LBF23" s="6"/>
      <c r="LBG23" s="8"/>
      <c r="LBH23" s="8"/>
      <c r="LBI23" s="8"/>
      <c r="LBJ23" s="28"/>
      <c r="LBK23" s="7"/>
      <c r="LBL23" s="8"/>
      <c r="LBM23" s="7"/>
      <c r="LBN23" s="7"/>
      <c r="LBO23" s="6"/>
      <c r="LBP23" s="7"/>
      <c r="LBQ23" s="8"/>
      <c r="LBR23" s="6"/>
      <c r="LBS23" s="8"/>
      <c r="LBT23" s="6"/>
      <c r="LBU23" s="8"/>
      <c r="LBV23" s="8"/>
      <c r="LBW23" s="6"/>
      <c r="LBX23" s="6"/>
      <c r="LBY23" s="8"/>
      <c r="LBZ23" s="8"/>
      <c r="LCA23" s="8"/>
      <c r="LCB23" s="28"/>
      <c r="LCC23" s="7"/>
      <c r="LCD23" s="8"/>
      <c r="LCE23" s="7"/>
      <c r="LCF23" s="7"/>
      <c r="LCG23" s="6"/>
      <c r="LCH23" s="7"/>
      <c r="LCI23" s="8"/>
      <c r="LCJ23" s="6"/>
      <c r="LCK23" s="8"/>
      <c r="LCL23" s="6"/>
      <c r="LCM23" s="8"/>
      <c r="LCN23" s="8"/>
      <c r="LCO23" s="6"/>
      <c r="LCP23" s="6"/>
      <c r="LCQ23" s="8"/>
      <c r="LCR23" s="8"/>
      <c r="LCS23" s="8"/>
      <c r="LCT23" s="28"/>
      <c r="LCU23" s="7"/>
      <c r="LCV23" s="8"/>
      <c r="LCW23" s="7"/>
      <c r="LCX23" s="7"/>
      <c r="LCY23" s="6"/>
      <c r="LCZ23" s="7"/>
      <c r="LDA23" s="8"/>
      <c r="LDB23" s="6"/>
      <c r="LDC23" s="8"/>
      <c r="LDD23" s="6"/>
      <c r="LDE23" s="8"/>
      <c r="LDF23" s="8"/>
      <c r="LDG23" s="6"/>
      <c r="LDH23" s="6"/>
      <c r="LDI23" s="8"/>
      <c r="LDJ23" s="8"/>
      <c r="LDK23" s="8"/>
      <c r="LDL23" s="28"/>
      <c r="LDM23" s="7"/>
      <c r="LDN23" s="8"/>
      <c r="LDO23" s="7"/>
      <c r="LDP23" s="7"/>
      <c r="LDQ23" s="6"/>
      <c r="LDR23" s="7"/>
      <c r="LDS23" s="8"/>
      <c r="LDT23" s="6"/>
      <c r="LDU23" s="8"/>
      <c r="LDV23" s="6"/>
      <c r="LDW23" s="8"/>
      <c r="LDX23" s="8"/>
      <c r="LDY23" s="6"/>
      <c r="LDZ23" s="6"/>
      <c r="LEA23" s="8"/>
      <c r="LEB23" s="8"/>
      <c r="LEC23" s="8"/>
      <c r="LED23" s="28"/>
      <c r="LEE23" s="7"/>
      <c r="LEF23" s="8"/>
      <c r="LEG23" s="7"/>
      <c r="LEH23" s="7"/>
      <c r="LEI23" s="6"/>
      <c r="LEJ23" s="7"/>
      <c r="LEK23" s="8"/>
      <c r="LEL23" s="6"/>
      <c r="LEM23" s="8"/>
      <c r="LEN23" s="6"/>
      <c r="LEO23" s="8"/>
      <c r="LEP23" s="8"/>
      <c r="LEQ23" s="6"/>
      <c r="LER23" s="6"/>
      <c r="LES23" s="8"/>
      <c r="LET23" s="8"/>
      <c r="LEU23" s="8"/>
      <c r="LEV23" s="28"/>
      <c r="LEW23" s="7"/>
      <c r="LEX23" s="8"/>
      <c r="LEY23" s="7"/>
      <c r="LEZ23" s="7"/>
      <c r="LFA23" s="6"/>
      <c r="LFB23" s="7"/>
      <c r="LFC23" s="8"/>
      <c r="LFD23" s="6"/>
      <c r="LFE23" s="8"/>
      <c r="LFF23" s="6"/>
      <c r="LFG23" s="8"/>
      <c r="LFH23" s="8"/>
      <c r="LFI23" s="6"/>
      <c r="LFJ23" s="6"/>
      <c r="LFK23" s="8"/>
      <c r="LFL23" s="8"/>
      <c r="LFM23" s="8"/>
      <c r="LFN23" s="28"/>
      <c r="LFO23" s="7"/>
      <c r="LFP23" s="8"/>
      <c r="LFQ23" s="7"/>
      <c r="LFR23" s="7"/>
      <c r="LFS23" s="6"/>
      <c r="LFT23" s="7"/>
      <c r="LFU23" s="8"/>
      <c r="LFV23" s="6"/>
      <c r="LFW23" s="8"/>
      <c r="LFX23" s="6"/>
      <c r="LFY23" s="8"/>
      <c r="LFZ23" s="8"/>
      <c r="LGA23" s="6"/>
      <c r="LGB23" s="6"/>
      <c r="LGC23" s="8"/>
      <c r="LGD23" s="8"/>
      <c r="LGE23" s="8"/>
      <c r="LGF23" s="28"/>
      <c r="LGG23" s="7"/>
      <c r="LGH23" s="8"/>
      <c r="LGI23" s="7"/>
      <c r="LGJ23" s="7"/>
      <c r="LGK23" s="6"/>
      <c r="LGL23" s="7"/>
      <c r="LGM23" s="8"/>
      <c r="LGN23" s="6"/>
      <c r="LGO23" s="8"/>
      <c r="LGP23" s="6"/>
      <c r="LGQ23" s="8"/>
      <c r="LGR23" s="8"/>
      <c r="LGS23" s="6"/>
      <c r="LGT23" s="6"/>
      <c r="LGU23" s="8"/>
      <c r="LGV23" s="8"/>
      <c r="LGW23" s="8"/>
      <c r="LGX23" s="28"/>
      <c r="LGY23" s="7"/>
      <c r="LGZ23" s="8"/>
      <c r="LHA23" s="7"/>
      <c r="LHB23" s="7"/>
      <c r="LHC23" s="6"/>
      <c r="LHD23" s="7"/>
      <c r="LHE23" s="8"/>
      <c r="LHF23" s="6"/>
      <c r="LHG23" s="8"/>
      <c r="LHH23" s="6"/>
      <c r="LHI23" s="8"/>
      <c r="LHJ23" s="8"/>
      <c r="LHK23" s="6"/>
      <c r="LHL23" s="6"/>
      <c r="LHM23" s="8"/>
      <c r="LHN23" s="8"/>
      <c r="LHO23" s="8"/>
      <c r="LHP23" s="28"/>
      <c r="LHQ23" s="7"/>
      <c r="LHR23" s="8"/>
      <c r="LHS23" s="7"/>
      <c r="LHT23" s="7"/>
      <c r="LHU23" s="6"/>
      <c r="LHV23" s="7"/>
      <c r="LHW23" s="8"/>
      <c r="LHX23" s="6"/>
      <c r="LHY23" s="8"/>
      <c r="LHZ23" s="6"/>
      <c r="LIA23" s="8"/>
      <c r="LIB23" s="8"/>
      <c r="LIC23" s="6"/>
      <c r="LID23" s="6"/>
      <c r="LIE23" s="8"/>
      <c r="LIF23" s="8"/>
      <c r="LIG23" s="8"/>
      <c r="LIH23" s="28"/>
      <c r="LII23" s="7"/>
      <c r="LIJ23" s="8"/>
      <c r="LIK23" s="7"/>
      <c r="LIL23" s="7"/>
      <c r="LIM23" s="6"/>
      <c r="LIN23" s="7"/>
      <c r="LIO23" s="8"/>
      <c r="LIP23" s="6"/>
      <c r="LIQ23" s="8"/>
      <c r="LIR23" s="6"/>
      <c r="LIS23" s="8"/>
      <c r="LIT23" s="8"/>
      <c r="LIU23" s="6"/>
      <c r="LIV23" s="6"/>
      <c r="LIW23" s="8"/>
      <c r="LIX23" s="8"/>
      <c r="LIY23" s="8"/>
      <c r="LIZ23" s="28"/>
      <c r="LJA23" s="7"/>
      <c r="LJB23" s="8"/>
      <c r="LJC23" s="7"/>
      <c r="LJD23" s="7"/>
      <c r="LJE23" s="6"/>
      <c r="LJF23" s="7"/>
      <c r="LJG23" s="8"/>
      <c r="LJH23" s="6"/>
      <c r="LJI23" s="8"/>
      <c r="LJJ23" s="6"/>
      <c r="LJK23" s="8"/>
      <c r="LJL23" s="8"/>
      <c r="LJM23" s="6"/>
      <c r="LJN23" s="6"/>
      <c r="LJO23" s="8"/>
      <c r="LJP23" s="8"/>
      <c r="LJQ23" s="8"/>
      <c r="LJR23" s="28"/>
      <c r="LJS23" s="7"/>
      <c r="LJT23" s="8"/>
      <c r="LJU23" s="7"/>
      <c r="LJV23" s="7"/>
      <c r="LJW23" s="6"/>
      <c r="LJX23" s="7"/>
      <c r="LJY23" s="8"/>
      <c r="LJZ23" s="6"/>
      <c r="LKA23" s="8"/>
      <c r="LKB23" s="6"/>
      <c r="LKC23" s="8"/>
      <c r="LKD23" s="8"/>
      <c r="LKE23" s="6"/>
      <c r="LKF23" s="6"/>
      <c r="LKG23" s="8"/>
      <c r="LKH23" s="8"/>
      <c r="LKI23" s="8"/>
      <c r="LKJ23" s="28"/>
      <c r="LKK23" s="7"/>
      <c r="LKL23" s="8"/>
      <c r="LKM23" s="7"/>
      <c r="LKN23" s="7"/>
      <c r="LKO23" s="6"/>
      <c r="LKP23" s="7"/>
      <c r="LKQ23" s="8"/>
      <c r="LKR23" s="6"/>
      <c r="LKS23" s="8"/>
      <c r="LKT23" s="6"/>
      <c r="LKU23" s="8"/>
      <c r="LKV23" s="8"/>
      <c r="LKW23" s="6"/>
      <c r="LKX23" s="6"/>
      <c r="LKY23" s="8"/>
      <c r="LKZ23" s="8"/>
      <c r="LLA23" s="8"/>
      <c r="LLB23" s="28"/>
      <c r="LLC23" s="7"/>
      <c r="LLD23" s="8"/>
      <c r="LLE23" s="7"/>
      <c r="LLF23" s="7"/>
      <c r="LLG23" s="6"/>
      <c r="LLH23" s="7"/>
      <c r="LLI23" s="8"/>
      <c r="LLJ23" s="6"/>
      <c r="LLK23" s="8"/>
      <c r="LLL23" s="6"/>
      <c r="LLM23" s="8"/>
      <c r="LLN23" s="8"/>
      <c r="LLO23" s="6"/>
      <c r="LLP23" s="6"/>
      <c r="LLQ23" s="8"/>
      <c r="LLR23" s="8"/>
      <c r="LLS23" s="8"/>
      <c r="LLT23" s="28"/>
      <c r="LLU23" s="7"/>
      <c r="LLV23" s="8"/>
      <c r="LLW23" s="7"/>
      <c r="LLX23" s="7"/>
      <c r="LLY23" s="6"/>
      <c r="LLZ23" s="7"/>
      <c r="LMA23" s="8"/>
      <c r="LMB23" s="6"/>
      <c r="LMC23" s="8"/>
      <c r="LMD23" s="6"/>
      <c r="LME23" s="8"/>
      <c r="LMF23" s="8"/>
      <c r="LMG23" s="6"/>
      <c r="LMH23" s="6"/>
      <c r="LMI23" s="8"/>
      <c r="LMJ23" s="8"/>
      <c r="LMK23" s="8"/>
      <c r="LML23" s="28"/>
      <c r="LMM23" s="7"/>
      <c r="LMN23" s="8"/>
      <c r="LMO23" s="7"/>
      <c r="LMP23" s="7"/>
      <c r="LMQ23" s="6"/>
      <c r="LMR23" s="7"/>
      <c r="LMS23" s="8"/>
      <c r="LMT23" s="6"/>
      <c r="LMU23" s="8"/>
      <c r="LMV23" s="6"/>
      <c r="LMW23" s="8"/>
      <c r="LMX23" s="8"/>
      <c r="LMY23" s="6"/>
      <c r="LMZ23" s="6"/>
      <c r="LNA23" s="8"/>
      <c r="LNB23" s="8"/>
      <c r="LNC23" s="8"/>
      <c r="LND23" s="28"/>
      <c r="LNE23" s="7"/>
      <c r="LNF23" s="8"/>
      <c r="LNG23" s="7"/>
      <c r="LNH23" s="7"/>
      <c r="LNI23" s="6"/>
      <c r="LNJ23" s="7"/>
      <c r="LNK23" s="8"/>
      <c r="LNL23" s="6"/>
      <c r="LNM23" s="8"/>
      <c r="LNN23" s="6"/>
      <c r="LNO23" s="8"/>
      <c r="LNP23" s="8"/>
      <c r="LNQ23" s="6"/>
      <c r="LNR23" s="6"/>
      <c r="LNS23" s="8"/>
      <c r="LNT23" s="8"/>
      <c r="LNU23" s="8"/>
      <c r="LNV23" s="28"/>
      <c r="LNW23" s="7"/>
      <c r="LNX23" s="8"/>
      <c r="LNY23" s="7"/>
      <c r="LNZ23" s="7"/>
      <c r="LOA23" s="6"/>
      <c r="LOB23" s="7"/>
      <c r="LOC23" s="8"/>
      <c r="LOD23" s="6"/>
      <c r="LOE23" s="8"/>
      <c r="LOF23" s="6"/>
      <c r="LOG23" s="8"/>
      <c r="LOH23" s="8"/>
      <c r="LOI23" s="6"/>
      <c r="LOJ23" s="6"/>
      <c r="LOK23" s="8"/>
      <c r="LOL23" s="8"/>
      <c r="LOM23" s="8"/>
      <c r="LON23" s="28"/>
      <c r="LOO23" s="7"/>
      <c r="LOP23" s="8"/>
      <c r="LOQ23" s="7"/>
      <c r="LOR23" s="7"/>
      <c r="LOS23" s="6"/>
      <c r="LOT23" s="7"/>
      <c r="LOU23" s="8"/>
      <c r="LOV23" s="6"/>
      <c r="LOW23" s="8"/>
      <c r="LOX23" s="6"/>
      <c r="LOY23" s="8"/>
      <c r="LOZ23" s="8"/>
      <c r="LPA23" s="6"/>
      <c r="LPB23" s="6"/>
      <c r="LPC23" s="8"/>
      <c r="LPD23" s="8"/>
      <c r="LPE23" s="8"/>
      <c r="LPF23" s="28"/>
      <c r="LPG23" s="7"/>
      <c r="LPH23" s="8"/>
      <c r="LPI23" s="7"/>
      <c r="LPJ23" s="7"/>
      <c r="LPK23" s="6"/>
      <c r="LPL23" s="7"/>
      <c r="LPM23" s="8"/>
      <c r="LPN23" s="6"/>
      <c r="LPO23" s="8"/>
      <c r="LPP23" s="6"/>
      <c r="LPQ23" s="8"/>
      <c r="LPR23" s="8"/>
      <c r="LPS23" s="6"/>
      <c r="LPT23" s="6"/>
      <c r="LPU23" s="8"/>
      <c r="LPV23" s="8"/>
      <c r="LPW23" s="8"/>
      <c r="LPX23" s="28"/>
      <c r="LPY23" s="7"/>
      <c r="LPZ23" s="8"/>
      <c r="LQA23" s="7"/>
      <c r="LQB23" s="7"/>
      <c r="LQC23" s="6"/>
      <c r="LQD23" s="7"/>
      <c r="LQE23" s="8"/>
      <c r="LQF23" s="6"/>
      <c r="LQG23" s="8"/>
      <c r="LQH23" s="6"/>
      <c r="LQI23" s="8"/>
      <c r="LQJ23" s="8"/>
      <c r="LQK23" s="6"/>
      <c r="LQL23" s="6"/>
      <c r="LQM23" s="8"/>
      <c r="LQN23" s="8"/>
      <c r="LQO23" s="8"/>
      <c r="LQP23" s="28"/>
      <c r="LQQ23" s="7"/>
      <c r="LQR23" s="8"/>
      <c r="LQS23" s="7"/>
      <c r="LQT23" s="7"/>
      <c r="LQU23" s="6"/>
      <c r="LQV23" s="7"/>
      <c r="LQW23" s="8"/>
      <c r="LQX23" s="6"/>
      <c r="LQY23" s="8"/>
      <c r="LQZ23" s="6"/>
      <c r="LRA23" s="8"/>
      <c r="LRB23" s="8"/>
      <c r="LRC23" s="6"/>
      <c r="LRD23" s="6"/>
      <c r="LRE23" s="8"/>
      <c r="LRF23" s="8"/>
      <c r="LRG23" s="8"/>
      <c r="LRH23" s="28"/>
      <c r="LRI23" s="7"/>
      <c r="LRJ23" s="8"/>
      <c r="LRK23" s="7"/>
      <c r="LRL23" s="7"/>
      <c r="LRM23" s="6"/>
      <c r="LRN23" s="7"/>
      <c r="LRO23" s="8"/>
      <c r="LRP23" s="6"/>
      <c r="LRQ23" s="8"/>
      <c r="LRR23" s="6"/>
      <c r="LRS23" s="8"/>
      <c r="LRT23" s="8"/>
      <c r="LRU23" s="6"/>
      <c r="LRV23" s="6"/>
      <c r="LRW23" s="8"/>
      <c r="LRX23" s="8"/>
      <c r="LRY23" s="8"/>
      <c r="LRZ23" s="28"/>
      <c r="LSA23" s="7"/>
      <c r="LSB23" s="8"/>
      <c r="LSC23" s="7"/>
      <c r="LSD23" s="7"/>
      <c r="LSE23" s="6"/>
      <c r="LSF23" s="7"/>
      <c r="LSG23" s="8"/>
      <c r="LSH23" s="6"/>
      <c r="LSI23" s="8"/>
      <c r="LSJ23" s="6"/>
      <c r="LSK23" s="8"/>
      <c r="LSL23" s="8"/>
      <c r="LSM23" s="6"/>
      <c r="LSN23" s="6"/>
      <c r="LSO23" s="8"/>
      <c r="LSP23" s="8"/>
      <c r="LSQ23" s="8"/>
      <c r="LSR23" s="28"/>
      <c r="LSS23" s="7"/>
      <c r="LST23" s="8"/>
      <c r="LSU23" s="7"/>
      <c r="LSV23" s="7"/>
      <c r="LSW23" s="6"/>
      <c r="LSX23" s="7"/>
      <c r="LSY23" s="8"/>
      <c r="LSZ23" s="6"/>
      <c r="LTA23" s="8"/>
      <c r="LTB23" s="6"/>
      <c r="LTC23" s="8"/>
      <c r="LTD23" s="8"/>
      <c r="LTE23" s="6"/>
      <c r="LTF23" s="6"/>
      <c r="LTG23" s="8"/>
      <c r="LTH23" s="8"/>
      <c r="LTI23" s="8"/>
      <c r="LTJ23" s="28"/>
      <c r="LTK23" s="7"/>
      <c r="LTL23" s="8"/>
      <c r="LTM23" s="7"/>
      <c r="LTN23" s="7"/>
      <c r="LTO23" s="6"/>
      <c r="LTP23" s="7"/>
      <c r="LTQ23" s="8"/>
      <c r="LTR23" s="6"/>
      <c r="LTS23" s="8"/>
      <c r="LTT23" s="6"/>
      <c r="LTU23" s="8"/>
      <c r="LTV23" s="8"/>
      <c r="LTW23" s="6"/>
      <c r="LTX23" s="6"/>
      <c r="LTY23" s="8"/>
      <c r="LTZ23" s="8"/>
      <c r="LUA23" s="8"/>
      <c r="LUB23" s="28"/>
      <c r="LUC23" s="7"/>
      <c r="LUD23" s="8"/>
      <c r="LUE23" s="7"/>
      <c r="LUF23" s="7"/>
      <c r="LUG23" s="6"/>
      <c r="LUH23" s="7"/>
      <c r="LUI23" s="8"/>
      <c r="LUJ23" s="6"/>
      <c r="LUK23" s="8"/>
      <c r="LUL23" s="6"/>
      <c r="LUM23" s="8"/>
      <c r="LUN23" s="8"/>
      <c r="LUO23" s="6"/>
      <c r="LUP23" s="6"/>
      <c r="LUQ23" s="8"/>
      <c r="LUR23" s="8"/>
      <c r="LUS23" s="8"/>
      <c r="LUT23" s="28"/>
      <c r="LUU23" s="7"/>
      <c r="LUV23" s="8"/>
      <c r="LUW23" s="7"/>
      <c r="LUX23" s="7"/>
      <c r="LUY23" s="6"/>
      <c r="LUZ23" s="7"/>
      <c r="LVA23" s="8"/>
      <c r="LVB23" s="6"/>
      <c r="LVC23" s="8"/>
      <c r="LVD23" s="6"/>
      <c r="LVE23" s="8"/>
      <c r="LVF23" s="8"/>
      <c r="LVG23" s="6"/>
      <c r="LVH23" s="6"/>
      <c r="LVI23" s="8"/>
      <c r="LVJ23" s="8"/>
      <c r="LVK23" s="8"/>
      <c r="LVL23" s="28"/>
      <c r="LVM23" s="7"/>
      <c r="LVN23" s="8"/>
      <c r="LVO23" s="7"/>
      <c r="LVP23" s="7"/>
      <c r="LVQ23" s="6"/>
      <c r="LVR23" s="7"/>
      <c r="LVS23" s="8"/>
      <c r="LVT23" s="6"/>
      <c r="LVU23" s="8"/>
      <c r="LVV23" s="6"/>
      <c r="LVW23" s="8"/>
      <c r="LVX23" s="8"/>
      <c r="LVY23" s="6"/>
      <c r="LVZ23" s="6"/>
      <c r="LWA23" s="8"/>
      <c r="LWB23" s="8"/>
      <c r="LWC23" s="8"/>
      <c r="LWD23" s="28"/>
      <c r="LWE23" s="7"/>
      <c r="LWF23" s="8"/>
      <c r="LWG23" s="7"/>
      <c r="LWH23" s="7"/>
      <c r="LWI23" s="6"/>
      <c r="LWJ23" s="7"/>
      <c r="LWK23" s="8"/>
      <c r="LWL23" s="6"/>
      <c r="LWM23" s="8"/>
      <c r="LWN23" s="6"/>
      <c r="LWO23" s="8"/>
      <c r="LWP23" s="8"/>
      <c r="LWQ23" s="6"/>
      <c r="LWR23" s="6"/>
      <c r="LWS23" s="8"/>
      <c r="LWT23" s="8"/>
      <c r="LWU23" s="8"/>
      <c r="LWV23" s="28"/>
      <c r="LWW23" s="7"/>
      <c r="LWX23" s="8"/>
      <c r="LWY23" s="7"/>
      <c r="LWZ23" s="7"/>
      <c r="LXA23" s="6"/>
      <c r="LXB23" s="7"/>
      <c r="LXC23" s="8"/>
      <c r="LXD23" s="6"/>
      <c r="LXE23" s="8"/>
      <c r="LXF23" s="6"/>
      <c r="LXG23" s="8"/>
      <c r="LXH23" s="8"/>
      <c r="LXI23" s="6"/>
      <c r="LXJ23" s="6"/>
      <c r="LXK23" s="8"/>
      <c r="LXL23" s="8"/>
      <c r="LXM23" s="8"/>
      <c r="LXN23" s="28"/>
      <c r="LXO23" s="7"/>
      <c r="LXP23" s="8"/>
      <c r="LXQ23" s="7"/>
      <c r="LXR23" s="7"/>
      <c r="LXS23" s="6"/>
      <c r="LXT23" s="7"/>
      <c r="LXU23" s="8"/>
      <c r="LXV23" s="6"/>
      <c r="LXW23" s="8"/>
      <c r="LXX23" s="6"/>
      <c r="LXY23" s="8"/>
      <c r="LXZ23" s="8"/>
      <c r="LYA23" s="6"/>
      <c r="LYB23" s="6"/>
      <c r="LYC23" s="8"/>
      <c r="LYD23" s="8"/>
      <c r="LYE23" s="8"/>
      <c r="LYF23" s="28"/>
      <c r="LYG23" s="7"/>
      <c r="LYH23" s="8"/>
      <c r="LYI23" s="7"/>
      <c r="LYJ23" s="7"/>
      <c r="LYK23" s="6"/>
      <c r="LYL23" s="7"/>
      <c r="LYM23" s="8"/>
      <c r="LYN23" s="6"/>
      <c r="LYO23" s="8"/>
      <c r="LYP23" s="6"/>
      <c r="LYQ23" s="8"/>
      <c r="LYR23" s="8"/>
      <c r="LYS23" s="6"/>
      <c r="LYT23" s="6"/>
      <c r="LYU23" s="8"/>
      <c r="LYV23" s="8"/>
      <c r="LYW23" s="8"/>
      <c r="LYX23" s="28"/>
      <c r="LYY23" s="7"/>
      <c r="LYZ23" s="8"/>
      <c r="LZA23" s="7"/>
      <c r="LZB23" s="7"/>
      <c r="LZC23" s="6"/>
      <c r="LZD23" s="7"/>
      <c r="LZE23" s="8"/>
      <c r="LZF23" s="6"/>
      <c r="LZG23" s="8"/>
      <c r="LZH23" s="6"/>
      <c r="LZI23" s="8"/>
      <c r="LZJ23" s="8"/>
      <c r="LZK23" s="6"/>
      <c r="LZL23" s="6"/>
      <c r="LZM23" s="8"/>
      <c r="LZN23" s="8"/>
      <c r="LZO23" s="8"/>
      <c r="LZP23" s="28"/>
      <c r="LZQ23" s="7"/>
      <c r="LZR23" s="8"/>
      <c r="LZS23" s="7"/>
      <c r="LZT23" s="7"/>
      <c r="LZU23" s="6"/>
      <c r="LZV23" s="7"/>
      <c r="LZW23" s="8"/>
      <c r="LZX23" s="6"/>
      <c r="LZY23" s="8"/>
      <c r="LZZ23" s="6"/>
      <c r="MAA23" s="8"/>
      <c r="MAB23" s="8"/>
      <c r="MAC23" s="6"/>
      <c r="MAD23" s="6"/>
      <c r="MAE23" s="8"/>
      <c r="MAF23" s="8"/>
      <c r="MAG23" s="8"/>
      <c r="MAH23" s="28"/>
      <c r="MAI23" s="7"/>
      <c r="MAJ23" s="8"/>
      <c r="MAK23" s="7"/>
      <c r="MAL23" s="7"/>
      <c r="MAM23" s="6"/>
      <c r="MAN23" s="7"/>
      <c r="MAO23" s="8"/>
      <c r="MAP23" s="6"/>
      <c r="MAQ23" s="8"/>
      <c r="MAR23" s="6"/>
      <c r="MAS23" s="8"/>
      <c r="MAT23" s="8"/>
      <c r="MAU23" s="6"/>
      <c r="MAV23" s="6"/>
      <c r="MAW23" s="8"/>
      <c r="MAX23" s="8"/>
      <c r="MAY23" s="8"/>
      <c r="MAZ23" s="28"/>
      <c r="MBA23" s="7"/>
      <c r="MBB23" s="8"/>
      <c r="MBC23" s="7"/>
      <c r="MBD23" s="7"/>
      <c r="MBE23" s="6"/>
      <c r="MBF23" s="7"/>
      <c r="MBG23" s="8"/>
      <c r="MBH23" s="6"/>
      <c r="MBI23" s="8"/>
      <c r="MBJ23" s="6"/>
      <c r="MBK23" s="8"/>
      <c r="MBL23" s="8"/>
      <c r="MBM23" s="6"/>
      <c r="MBN23" s="6"/>
      <c r="MBO23" s="8"/>
      <c r="MBP23" s="8"/>
      <c r="MBQ23" s="8"/>
      <c r="MBR23" s="28"/>
      <c r="MBS23" s="7"/>
      <c r="MBT23" s="8"/>
      <c r="MBU23" s="7"/>
      <c r="MBV23" s="7"/>
      <c r="MBW23" s="6"/>
      <c r="MBX23" s="7"/>
      <c r="MBY23" s="8"/>
      <c r="MBZ23" s="6"/>
      <c r="MCA23" s="8"/>
      <c r="MCB23" s="6"/>
      <c r="MCC23" s="8"/>
      <c r="MCD23" s="8"/>
      <c r="MCE23" s="6"/>
      <c r="MCF23" s="6"/>
      <c r="MCG23" s="8"/>
      <c r="MCH23" s="8"/>
      <c r="MCI23" s="8"/>
      <c r="MCJ23" s="28"/>
      <c r="MCK23" s="7"/>
      <c r="MCL23" s="8"/>
      <c r="MCM23" s="7"/>
      <c r="MCN23" s="7"/>
      <c r="MCO23" s="6"/>
      <c r="MCP23" s="7"/>
      <c r="MCQ23" s="8"/>
      <c r="MCR23" s="6"/>
      <c r="MCS23" s="8"/>
      <c r="MCT23" s="6"/>
      <c r="MCU23" s="8"/>
      <c r="MCV23" s="8"/>
      <c r="MCW23" s="6"/>
      <c r="MCX23" s="6"/>
      <c r="MCY23" s="8"/>
      <c r="MCZ23" s="8"/>
      <c r="MDA23" s="8"/>
      <c r="MDB23" s="28"/>
      <c r="MDC23" s="7"/>
      <c r="MDD23" s="8"/>
      <c r="MDE23" s="7"/>
      <c r="MDF23" s="7"/>
      <c r="MDG23" s="6"/>
      <c r="MDH23" s="7"/>
      <c r="MDI23" s="8"/>
      <c r="MDJ23" s="6"/>
      <c r="MDK23" s="8"/>
      <c r="MDL23" s="6"/>
      <c r="MDM23" s="8"/>
      <c r="MDN23" s="8"/>
      <c r="MDO23" s="6"/>
      <c r="MDP23" s="6"/>
      <c r="MDQ23" s="8"/>
      <c r="MDR23" s="8"/>
      <c r="MDS23" s="8"/>
      <c r="MDT23" s="28"/>
      <c r="MDU23" s="7"/>
      <c r="MDV23" s="8"/>
      <c r="MDW23" s="7"/>
      <c r="MDX23" s="7"/>
      <c r="MDY23" s="6"/>
      <c r="MDZ23" s="7"/>
      <c r="MEA23" s="8"/>
      <c r="MEB23" s="6"/>
      <c r="MEC23" s="8"/>
      <c r="MED23" s="6"/>
      <c r="MEE23" s="8"/>
      <c r="MEF23" s="8"/>
      <c r="MEG23" s="6"/>
      <c r="MEH23" s="6"/>
      <c r="MEI23" s="8"/>
      <c r="MEJ23" s="8"/>
      <c r="MEK23" s="8"/>
      <c r="MEL23" s="28"/>
      <c r="MEM23" s="7"/>
      <c r="MEN23" s="8"/>
      <c r="MEO23" s="7"/>
      <c r="MEP23" s="7"/>
      <c r="MEQ23" s="6"/>
      <c r="MER23" s="7"/>
      <c r="MES23" s="8"/>
      <c r="MET23" s="6"/>
      <c r="MEU23" s="8"/>
      <c r="MEV23" s="6"/>
      <c r="MEW23" s="8"/>
      <c r="MEX23" s="8"/>
      <c r="MEY23" s="6"/>
      <c r="MEZ23" s="6"/>
      <c r="MFA23" s="8"/>
      <c r="MFB23" s="8"/>
      <c r="MFC23" s="8"/>
      <c r="MFD23" s="28"/>
      <c r="MFE23" s="7"/>
      <c r="MFF23" s="8"/>
      <c r="MFG23" s="7"/>
      <c r="MFH23" s="7"/>
      <c r="MFI23" s="6"/>
      <c r="MFJ23" s="7"/>
      <c r="MFK23" s="8"/>
      <c r="MFL23" s="6"/>
      <c r="MFM23" s="8"/>
      <c r="MFN23" s="6"/>
      <c r="MFO23" s="8"/>
      <c r="MFP23" s="8"/>
      <c r="MFQ23" s="6"/>
      <c r="MFR23" s="6"/>
      <c r="MFS23" s="8"/>
      <c r="MFT23" s="8"/>
      <c r="MFU23" s="8"/>
      <c r="MFV23" s="28"/>
      <c r="MFW23" s="7"/>
      <c r="MFX23" s="8"/>
      <c r="MFY23" s="7"/>
      <c r="MFZ23" s="7"/>
      <c r="MGA23" s="6"/>
      <c r="MGB23" s="7"/>
      <c r="MGC23" s="8"/>
      <c r="MGD23" s="6"/>
      <c r="MGE23" s="8"/>
      <c r="MGF23" s="6"/>
      <c r="MGG23" s="8"/>
      <c r="MGH23" s="8"/>
      <c r="MGI23" s="6"/>
      <c r="MGJ23" s="6"/>
      <c r="MGK23" s="8"/>
      <c r="MGL23" s="8"/>
      <c r="MGM23" s="8"/>
      <c r="MGN23" s="28"/>
      <c r="MGO23" s="7"/>
      <c r="MGP23" s="8"/>
      <c r="MGQ23" s="7"/>
      <c r="MGR23" s="7"/>
      <c r="MGS23" s="6"/>
      <c r="MGT23" s="7"/>
      <c r="MGU23" s="8"/>
      <c r="MGV23" s="6"/>
      <c r="MGW23" s="8"/>
      <c r="MGX23" s="6"/>
      <c r="MGY23" s="8"/>
      <c r="MGZ23" s="8"/>
      <c r="MHA23" s="6"/>
      <c r="MHB23" s="6"/>
      <c r="MHC23" s="8"/>
      <c r="MHD23" s="8"/>
      <c r="MHE23" s="8"/>
      <c r="MHF23" s="28"/>
      <c r="MHG23" s="7"/>
      <c r="MHH23" s="8"/>
      <c r="MHI23" s="7"/>
      <c r="MHJ23" s="7"/>
      <c r="MHK23" s="6"/>
      <c r="MHL23" s="7"/>
      <c r="MHM23" s="8"/>
      <c r="MHN23" s="6"/>
      <c r="MHO23" s="8"/>
      <c r="MHP23" s="6"/>
      <c r="MHQ23" s="8"/>
      <c r="MHR23" s="8"/>
      <c r="MHS23" s="6"/>
      <c r="MHT23" s="6"/>
      <c r="MHU23" s="8"/>
      <c r="MHV23" s="8"/>
      <c r="MHW23" s="8"/>
      <c r="MHX23" s="28"/>
      <c r="MHY23" s="7"/>
      <c r="MHZ23" s="8"/>
      <c r="MIA23" s="7"/>
      <c r="MIB23" s="7"/>
      <c r="MIC23" s="6"/>
      <c r="MID23" s="7"/>
      <c r="MIE23" s="8"/>
      <c r="MIF23" s="6"/>
      <c r="MIG23" s="8"/>
      <c r="MIH23" s="6"/>
      <c r="MII23" s="8"/>
      <c r="MIJ23" s="8"/>
      <c r="MIK23" s="6"/>
      <c r="MIL23" s="6"/>
      <c r="MIM23" s="8"/>
      <c r="MIN23" s="8"/>
      <c r="MIO23" s="8"/>
      <c r="MIP23" s="28"/>
      <c r="MIQ23" s="7"/>
      <c r="MIR23" s="8"/>
      <c r="MIS23" s="7"/>
      <c r="MIT23" s="7"/>
      <c r="MIU23" s="6"/>
      <c r="MIV23" s="7"/>
      <c r="MIW23" s="8"/>
      <c r="MIX23" s="6"/>
      <c r="MIY23" s="8"/>
      <c r="MIZ23" s="6"/>
      <c r="MJA23" s="8"/>
      <c r="MJB23" s="8"/>
      <c r="MJC23" s="6"/>
      <c r="MJD23" s="6"/>
      <c r="MJE23" s="8"/>
      <c r="MJF23" s="8"/>
      <c r="MJG23" s="8"/>
      <c r="MJH23" s="28"/>
      <c r="MJI23" s="7"/>
      <c r="MJJ23" s="8"/>
      <c r="MJK23" s="7"/>
      <c r="MJL23" s="7"/>
      <c r="MJM23" s="6"/>
      <c r="MJN23" s="7"/>
      <c r="MJO23" s="8"/>
      <c r="MJP23" s="6"/>
      <c r="MJQ23" s="8"/>
      <c r="MJR23" s="6"/>
      <c r="MJS23" s="8"/>
      <c r="MJT23" s="8"/>
      <c r="MJU23" s="6"/>
      <c r="MJV23" s="6"/>
      <c r="MJW23" s="8"/>
      <c r="MJX23" s="8"/>
      <c r="MJY23" s="8"/>
      <c r="MJZ23" s="28"/>
      <c r="MKA23" s="7"/>
      <c r="MKB23" s="8"/>
      <c r="MKC23" s="7"/>
      <c r="MKD23" s="7"/>
      <c r="MKE23" s="6"/>
      <c r="MKF23" s="7"/>
      <c r="MKG23" s="8"/>
      <c r="MKH23" s="6"/>
      <c r="MKI23" s="8"/>
      <c r="MKJ23" s="6"/>
      <c r="MKK23" s="8"/>
      <c r="MKL23" s="8"/>
      <c r="MKM23" s="6"/>
      <c r="MKN23" s="6"/>
      <c r="MKO23" s="8"/>
      <c r="MKP23" s="8"/>
      <c r="MKQ23" s="8"/>
      <c r="MKR23" s="28"/>
      <c r="MKS23" s="7"/>
      <c r="MKT23" s="8"/>
      <c r="MKU23" s="7"/>
      <c r="MKV23" s="7"/>
      <c r="MKW23" s="6"/>
      <c r="MKX23" s="7"/>
      <c r="MKY23" s="8"/>
      <c r="MKZ23" s="6"/>
      <c r="MLA23" s="8"/>
      <c r="MLB23" s="6"/>
      <c r="MLC23" s="8"/>
      <c r="MLD23" s="8"/>
      <c r="MLE23" s="6"/>
      <c r="MLF23" s="6"/>
      <c r="MLG23" s="8"/>
      <c r="MLH23" s="8"/>
      <c r="MLI23" s="8"/>
      <c r="MLJ23" s="28"/>
      <c r="MLK23" s="7"/>
      <c r="MLL23" s="8"/>
      <c r="MLM23" s="7"/>
      <c r="MLN23" s="7"/>
      <c r="MLO23" s="6"/>
      <c r="MLP23" s="7"/>
      <c r="MLQ23" s="8"/>
      <c r="MLR23" s="6"/>
      <c r="MLS23" s="8"/>
      <c r="MLT23" s="6"/>
      <c r="MLU23" s="8"/>
      <c r="MLV23" s="8"/>
      <c r="MLW23" s="6"/>
      <c r="MLX23" s="6"/>
      <c r="MLY23" s="8"/>
      <c r="MLZ23" s="8"/>
      <c r="MMA23" s="8"/>
      <c r="MMB23" s="28"/>
      <c r="MMC23" s="7"/>
      <c r="MMD23" s="8"/>
      <c r="MME23" s="7"/>
      <c r="MMF23" s="7"/>
      <c r="MMG23" s="6"/>
      <c r="MMH23" s="7"/>
      <c r="MMI23" s="8"/>
      <c r="MMJ23" s="6"/>
      <c r="MMK23" s="8"/>
      <c r="MML23" s="6"/>
      <c r="MMM23" s="8"/>
      <c r="MMN23" s="8"/>
      <c r="MMO23" s="6"/>
      <c r="MMP23" s="6"/>
      <c r="MMQ23" s="8"/>
      <c r="MMR23" s="8"/>
      <c r="MMS23" s="8"/>
      <c r="MMT23" s="28"/>
      <c r="MMU23" s="7"/>
      <c r="MMV23" s="8"/>
      <c r="MMW23" s="7"/>
      <c r="MMX23" s="7"/>
      <c r="MMY23" s="6"/>
      <c r="MMZ23" s="7"/>
      <c r="MNA23" s="8"/>
      <c r="MNB23" s="6"/>
      <c r="MNC23" s="8"/>
      <c r="MND23" s="6"/>
      <c r="MNE23" s="8"/>
      <c r="MNF23" s="8"/>
      <c r="MNG23" s="6"/>
      <c r="MNH23" s="6"/>
      <c r="MNI23" s="8"/>
      <c r="MNJ23" s="8"/>
      <c r="MNK23" s="8"/>
      <c r="MNL23" s="28"/>
      <c r="MNM23" s="7"/>
      <c r="MNN23" s="8"/>
      <c r="MNO23" s="7"/>
      <c r="MNP23" s="7"/>
      <c r="MNQ23" s="6"/>
      <c r="MNR23" s="7"/>
      <c r="MNS23" s="8"/>
      <c r="MNT23" s="6"/>
      <c r="MNU23" s="8"/>
      <c r="MNV23" s="6"/>
      <c r="MNW23" s="8"/>
      <c r="MNX23" s="8"/>
      <c r="MNY23" s="6"/>
      <c r="MNZ23" s="6"/>
      <c r="MOA23" s="8"/>
      <c r="MOB23" s="8"/>
      <c r="MOC23" s="8"/>
      <c r="MOD23" s="28"/>
      <c r="MOE23" s="7"/>
      <c r="MOF23" s="8"/>
      <c r="MOG23" s="7"/>
      <c r="MOH23" s="7"/>
      <c r="MOI23" s="6"/>
      <c r="MOJ23" s="7"/>
      <c r="MOK23" s="8"/>
      <c r="MOL23" s="6"/>
      <c r="MOM23" s="8"/>
      <c r="MON23" s="6"/>
      <c r="MOO23" s="8"/>
      <c r="MOP23" s="8"/>
      <c r="MOQ23" s="6"/>
      <c r="MOR23" s="6"/>
      <c r="MOS23" s="8"/>
      <c r="MOT23" s="8"/>
      <c r="MOU23" s="8"/>
      <c r="MOV23" s="28"/>
      <c r="MOW23" s="7"/>
      <c r="MOX23" s="8"/>
      <c r="MOY23" s="7"/>
      <c r="MOZ23" s="7"/>
      <c r="MPA23" s="6"/>
      <c r="MPB23" s="7"/>
      <c r="MPC23" s="8"/>
      <c r="MPD23" s="6"/>
      <c r="MPE23" s="8"/>
      <c r="MPF23" s="6"/>
      <c r="MPG23" s="8"/>
      <c r="MPH23" s="8"/>
      <c r="MPI23" s="6"/>
      <c r="MPJ23" s="6"/>
      <c r="MPK23" s="8"/>
      <c r="MPL23" s="8"/>
      <c r="MPM23" s="8"/>
      <c r="MPN23" s="28"/>
      <c r="MPO23" s="7"/>
      <c r="MPP23" s="8"/>
      <c r="MPQ23" s="7"/>
      <c r="MPR23" s="7"/>
      <c r="MPS23" s="6"/>
      <c r="MPT23" s="7"/>
      <c r="MPU23" s="8"/>
      <c r="MPV23" s="6"/>
      <c r="MPW23" s="8"/>
      <c r="MPX23" s="6"/>
      <c r="MPY23" s="8"/>
      <c r="MPZ23" s="8"/>
      <c r="MQA23" s="6"/>
      <c r="MQB23" s="6"/>
      <c r="MQC23" s="8"/>
      <c r="MQD23" s="8"/>
      <c r="MQE23" s="8"/>
      <c r="MQF23" s="28"/>
      <c r="MQG23" s="7"/>
      <c r="MQH23" s="8"/>
      <c r="MQI23" s="7"/>
      <c r="MQJ23" s="7"/>
      <c r="MQK23" s="6"/>
      <c r="MQL23" s="7"/>
      <c r="MQM23" s="8"/>
      <c r="MQN23" s="6"/>
      <c r="MQO23" s="8"/>
      <c r="MQP23" s="6"/>
      <c r="MQQ23" s="8"/>
      <c r="MQR23" s="8"/>
      <c r="MQS23" s="6"/>
      <c r="MQT23" s="6"/>
      <c r="MQU23" s="8"/>
      <c r="MQV23" s="8"/>
      <c r="MQW23" s="8"/>
      <c r="MQX23" s="28"/>
      <c r="MQY23" s="7"/>
      <c r="MQZ23" s="8"/>
      <c r="MRA23" s="7"/>
      <c r="MRB23" s="7"/>
      <c r="MRC23" s="6"/>
      <c r="MRD23" s="7"/>
      <c r="MRE23" s="8"/>
      <c r="MRF23" s="6"/>
      <c r="MRG23" s="8"/>
      <c r="MRH23" s="6"/>
      <c r="MRI23" s="8"/>
      <c r="MRJ23" s="8"/>
      <c r="MRK23" s="6"/>
      <c r="MRL23" s="6"/>
      <c r="MRM23" s="8"/>
      <c r="MRN23" s="8"/>
      <c r="MRO23" s="8"/>
      <c r="MRP23" s="28"/>
      <c r="MRQ23" s="7"/>
      <c r="MRR23" s="8"/>
      <c r="MRS23" s="7"/>
      <c r="MRT23" s="7"/>
      <c r="MRU23" s="6"/>
      <c r="MRV23" s="7"/>
      <c r="MRW23" s="8"/>
      <c r="MRX23" s="6"/>
      <c r="MRY23" s="8"/>
      <c r="MRZ23" s="6"/>
      <c r="MSA23" s="8"/>
      <c r="MSB23" s="8"/>
      <c r="MSC23" s="6"/>
      <c r="MSD23" s="6"/>
      <c r="MSE23" s="8"/>
      <c r="MSF23" s="8"/>
      <c r="MSG23" s="8"/>
      <c r="MSH23" s="28"/>
      <c r="MSI23" s="7"/>
      <c r="MSJ23" s="8"/>
      <c r="MSK23" s="7"/>
      <c r="MSL23" s="7"/>
      <c r="MSM23" s="6"/>
      <c r="MSN23" s="7"/>
      <c r="MSO23" s="8"/>
      <c r="MSP23" s="6"/>
      <c r="MSQ23" s="8"/>
      <c r="MSR23" s="6"/>
      <c r="MSS23" s="8"/>
      <c r="MST23" s="8"/>
      <c r="MSU23" s="6"/>
      <c r="MSV23" s="6"/>
      <c r="MSW23" s="8"/>
      <c r="MSX23" s="8"/>
      <c r="MSY23" s="8"/>
      <c r="MSZ23" s="28"/>
      <c r="MTA23" s="7"/>
      <c r="MTB23" s="8"/>
      <c r="MTC23" s="7"/>
      <c r="MTD23" s="7"/>
      <c r="MTE23" s="6"/>
      <c r="MTF23" s="7"/>
      <c r="MTG23" s="8"/>
      <c r="MTH23" s="6"/>
      <c r="MTI23" s="8"/>
      <c r="MTJ23" s="6"/>
      <c r="MTK23" s="8"/>
      <c r="MTL23" s="8"/>
      <c r="MTM23" s="6"/>
      <c r="MTN23" s="6"/>
      <c r="MTO23" s="8"/>
      <c r="MTP23" s="8"/>
      <c r="MTQ23" s="8"/>
      <c r="MTR23" s="28"/>
      <c r="MTS23" s="7"/>
      <c r="MTT23" s="8"/>
      <c r="MTU23" s="7"/>
      <c r="MTV23" s="7"/>
      <c r="MTW23" s="6"/>
      <c r="MTX23" s="7"/>
      <c r="MTY23" s="8"/>
      <c r="MTZ23" s="6"/>
      <c r="MUA23" s="8"/>
      <c r="MUB23" s="6"/>
      <c r="MUC23" s="8"/>
      <c r="MUD23" s="8"/>
      <c r="MUE23" s="6"/>
      <c r="MUF23" s="6"/>
      <c r="MUG23" s="8"/>
      <c r="MUH23" s="8"/>
      <c r="MUI23" s="8"/>
      <c r="MUJ23" s="28"/>
      <c r="MUK23" s="7"/>
      <c r="MUL23" s="8"/>
      <c r="MUM23" s="7"/>
      <c r="MUN23" s="7"/>
      <c r="MUO23" s="6"/>
      <c r="MUP23" s="7"/>
      <c r="MUQ23" s="8"/>
      <c r="MUR23" s="6"/>
      <c r="MUS23" s="8"/>
      <c r="MUT23" s="6"/>
      <c r="MUU23" s="8"/>
      <c r="MUV23" s="8"/>
      <c r="MUW23" s="6"/>
      <c r="MUX23" s="6"/>
      <c r="MUY23" s="8"/>
      <c r="MUZ23" s="8"/>
      <c r="MVA23" s="8"/>
      <c r="MVB23" s="28"/>
      <c r="MVC23" s="7"/>
      <c r="MVD23" s="8"/>
      <c r="MVE23" s="7"/>
      <c r="MVF23" s="7"/>
      <c r="MVG23" s="6"/>
      <c r="MVH23" s="7"/>
      <c r="MVI23" s="8"/>
      <c r="MVJ23" s="6"/>
      <c r="MVK23" s="8"/>
      <c r="MVL23" s="6"/>
      <c r="MVM23" s="8"/>
      <c r="MVN23" s="8"/>
      <c r="MVO23" s="6"/>
      <c r="MVP23" s="6"/>
      <c r="MVQ23" s="8"/>
      <c r="MVR23" s="8"/>
      <c r="MVS23" s="8"/>
      <c r="MVT23" s="28"/>
      <c r="MVU23" s="7"/>
      <c r="MVV23" s="8"/>
      <c r="MVW23" s="7"/>
      <c r="MVX23" s="7"/>
      <c r="MVY23" s="6"/>
      <c r="MVZ23" s="7"/>
      <c r="MWA23" s="8"/>
      <c r="MWB23" s="6"/>
      <c r="MWC23" s="8"/>
      <c r="MWD23" s="6"/>
      <c r="MWE23" s="8"/>
      <c r="MWF23" s="8"/>
      <c r="MWG23" s="6"/>
      <c r="MWH23" s="6"/>
      <c r="MWI23" s="8"/>
      <c r="MWJ23" s="8"/>
      <c r="MWK23" s="8"/>
      <c r="MWL23" s="28"/>
      <c r="MWM23" s="7"/>
      <c r="MWN23" s="8"/>
      <c r="MWO23" s="7"/>
      <c r="MWP23" s="7"/>
      <c r="MWQ23" s="6"/>
      <c r="MWR23" s="7"/>
      <c r="MWS23" s="8"/>
      <c r="MWT23" s="6"/>
      <c r="MWU23" s="8"/>
      <c r="MWV23" s="6"/>
      <c r="MWW23" s="8"/>
      <c r="MWX23" s="8"/>
      <c r="MWY23" s="6"/>
      <c r="MWZ23" s="6"/>
      <c r="MXA23" s="8"/>
      <c r="MXB23" s="8"/>
      <c r="MXC23" s="8"/>
      <c r="MXD23" s="28"/>
      <c r="MXE23" s="7"/>
      <c r="MXF23" s="8"/>
      <c r="MXG23" s="7"/>
      <c r="MXH23" s="7"/>
      <c r="MXI23" s="6"/>
      <c r="MXJ23" s="7"/>
      <c r="MXK23" s="8"/>
      <c r="MXL23" s="6"/>
      <c r="MXM23" s="8"/>
      <c r="MXN23" s="6"/>
      <c r="MXO23" s="8"/>
      <c r="MXP23" s="8"/>
      <c r="MXQ23" s="6"/>
      <c r="MXR23" s="6"/>
      <c r="MXS23" s="8"/>
      <c r="MXT23" s="8"/>
      <c r="MXU23" s="8"/>
      <c r="MXV23" s="28"/>
      <c r="MXW23" s="7"/>
      <c r="MXX23" s="8"/>
      <c r="MXY23" s="7"/>
      <c r="MXZ23" s="7"/>
      <c r="MYA23" s="6"/>
      <c r="MYB23" s="7"/>
      <c r="MYC23" s="8"/>
      <c r="MYD23" s="6"/>
      <c r="MYE23" s="8"/>
      <c r="MYF23" s="6"/>
      <c r="MYG23" s="8"/>
      <c r="MYH23" s="8"/>
      <c r="MYI23" s="6"/>
      <c r="MYJ23" s="6"/>
      <c r="MYK23" s="8"/>
      <c r="MYL23" s="8"/>
      <c r="MYM23" s="8"/>
      <c r="MYN23" s="28"/>
      <c r="MYO23" s="7"/>
      <c r="MYP23" s="8"/>
      <c r="MYQ23" s="7"/>
      <c r="MYR23" s="7"/>
      <c r="MYS23" s="6"/>
      <c r="MYT23" s="7"/>
      <c r="MYU23" s="8"/>
      <c r="MYV23" s="6"/>
      <c r="MYW23" s="8"/>
      <c r="MYX23" s="6"/>
      <c r="MYY23" s="8"/>
      <c r="MYZ23" s="8"/>
      <c r="MZA23" s="6"/>
      <c r="MZB23" s="6"/>
      <c r="MZC23" s="8"/>
      <c r="MZD23" s="8"/>
      <c r="MZE23" s="8"/>
      <c r="MZF23" s="28"/>
      <c r="MZG23" s="7"/>
      <c r="MZH23" s="8"/>
      <c r="MZI23" s="7"/>
      <c r="MZJ23" s="7"/>
      <c r="MZK23" s="6"/>
      <c r="MZL23" s="7"/>
      <c r="MZM23" s="8"/>
      <c r="MZN23" s="6"/>
      <c r="MZO23" s="8"/>
      <c r="MZP23" s="6"/>
      <c r="MZQ23" s="8"/>
      <c r="MZR23" s="8"/>
      <c r="MZS23" s="6"/>
      <c r="MZT23" s="6"/>
      <c r="MZU23" s="8"/>
      <c r="MZV23" s="8"/>
      <c r="MZW23" s="8"/>
      <c r="MZX23" s="28"/>
      <c r="MZY23" s="7"/>
      <c r="MZZ23" s="8"/>
      <c r="NAA23" s="7"/>
      <c r="NAB23" s="7"/>
      <c r="NAC23" s="6"/>
      <c r="NAD23" s="7"/>
      <c r="NAE23" s="8"/>
      <c r="NAF23" s="6"/>
      <c r="NAG23" s="8"/>
      <c r="NAH23" s="6"/>
      <c r="NAI23" s="8"/>
      <c r="NAJ23" s="8"/>
      <c r="NAK23" s="6"/>
      <c r="NAL23" s="6"/>
      <c r="NAM23" s="8"/>
      <c r="NAN23" s="8"/>
      <c r="NAO23" s="8"/>
      <c r="NAP23" s="28"/>
      <c r="NAQ23" s="7"/>
      <c r="NAR23" s="8"/>
      <c r="NAS23" s="7"/>
      <c r="NAT23" s="7"/>
      <c r="NAU23" s="6"/>
      <c r="NAV23" s="7"/>
      <c r="NAW23" s="8"/>
      <c r="NAX23" s="6"/>
      <c r="NAY23" s="8"/>
      <c r="NAZ23" s="6"/>
      <c r="NBA23" s="8"/>
      <c r="NBB23" s="8"/>
      <c r="NBC23" s="6"/>
      <c r="NBD23" s="6"/>
      <c r="NBE23" s="8"/>
      <c r="NBF23" s="8"/>
      <c r="NBG23" s="8"/>
      <c r="NBH23" s="28"/>
      <c r="NBI23" s="7"/>
      <c r="NBJ23" s="8"/>
      <c r="NBK23" s="7"/>
      <c r="NBL23" s="7"/>
      <c r="NBM23" s="6"/>
      <c r="NBN23" s="7"/>
      <c r="NBO23" s="8"/>
      <c r="NBP23" s="6"/>
      <c r="NBQ23" s="8"/>
      <c r="NBR23" s="6"/>
      <c r="NBS23" s="8"/>
      <c r="NBT23" s="8"/>
      <c r="NBU23" s="6"/>
      <c r="NBV23" s="6"/>
      <c r="NBW23" s="8"/>
      <c r="NBX23" s="8"/>
      <c r="NBY23" s="8"/>
      <c r="NBZ23" s="28"/>
      <c r="NCA23" s="7"/>
      <c r="NCB23" s="8"/>
      <c r="NCC23" s="7"/>
      <c r="NCD23" s="7"/>
      <c r="NCE23" s="6"/>
      <c r="NCF23" s="7"/>
      <c r="NCG23" s="8"/>
      <c r="NCH23" s="6"/>
      <c r="NCI23" s="8"/>
      <c r="NCJ23" s="6"/>
      <c r="NCK23" s="8"/>
      <c r="NCL23" s="8"/>
      <c r="NCM23" s="6"/>
      <c r="NCN23" s="6"/>
      <c r="NCO23" s="8"/>
      <c r="NCP23" s="8"/>
      <c r="NCQ23" s="8"/>
      <c r="NCR23" s="28"/>
      <c r="NCS23" s="7"/>
      <c r="NCT23" s="8"/>
      <c r="NCU23" s="7"/>
      <c r="NCV23" s="7"/>
      <c r="NCW23" s="6"/>
      <c r="NCX23" s="7"/>
      <c r="NCY23" s="8"/>
      <c r="NCZ23" s="6"/>
      <c r="NDA23" s="8"/>
      <c r="NDB23" s="6"/>
      <c r="NDC23" s="8"/>
      <c r="NDD23" s="8"/>
      <c r="NDE23" s="6"/>
      <c r="NDF23" s="6"/>
      <c r="NDG23" s="8"/>
      <c r="NDH23" s="8"/>
      <c r="NDI23" s="8"/>
      <c r="NDJ23" s="28"/>
      <c r="NDK23" s="7"/>
      <c r="NDL23" s="8"/>
      <c r="NDM23" s="7"/>
      <c r="NDN23" s="7"/>
      <c r="NDO23" s="6"/>
      <c r="NDP23" s="7"/>
      <c r="NDQ23" s="8"/>
      <c r="NDR23" s="6"/>
      <c r="NDS23" s="8"/>
      <c r="NDT23" s="6"/>
      <c r="NDU23" s="8"/>
      <c r="NDV23" s="8"/>
      <c r="NDW23" s="6"/>
      <c r="NDX23" s="6"/>
      <c r="NDY23" s="8"/>
      <c r="NDZ23" s="8"/>
      <c r="NEA23" s="8"/>
      <c r="NEB23" s="28"/>
      <c r="NEC23" s="7"/>
      <c r="NED23" s="8"/>
      <c r="NEE23" s="7"/>
      <c r="NEF23" s="7"/>
      <c r="NEG23" s="6"/>
      <c r="NEH23" s="7"/>
      <c r="NEI23" s="8"/>
      <c r="NEJ23" s="6"/>
      <c r="NEK23" s="8"/>
      <c r="NEL23" s="6"/>
      <c r="NEM23" s="8"/>
      <c r="NEN23" s="8"/>
      <c r="NEO23" s="6"/>
      <c r="NEP23" s="6"/>
      <c r="NEQ23" s="8"/>
      <c r="NER23" s="8"/>
      <c r="NES23" s="8"/>
      <c r="NET23" s="28"/>
      <c r="NEU23" s="7"/>
      <c r="NEV23" s="8"/>
      <c r="NEW23" s="7"/>
      <c r="NEX23" s="7"/>
      <c r="NEY23" s="6"/>
      <c r="NEZ23" s="7"/>
      <c r="NFA23" s="8"/>
      <c r="NFB23" s="6"/>
      <c r="NFC23" s="8"/>
      <c r="NFD23" s="6"/>
      <c r="NFE23" s="8"/>
      <c r="NFF23" s="8"/>
      <c r="NFG23" s="6"/>
      <c r="NFH23" s="6"/>
      <c r="NFI23" s="8"/>
      <c r="NFJ23" s="8"/>
      <c r="NFK23" s="8"/>
      <c r="NFL23" s="28"/>
      <c r="NFM23" s="7"/>
      <c r="NFN23" s="8"/>
      <c r="NFO23" s="7"/>
      <c r="NFP23" s="7"/>
      <c r="NFQ23" s="6"/>
      <c r="NFR23" s="7"/>
      <c r="NFS23" s="8"/>
      <c r="NFT23" s="6"/>
      <c r="NFU23" s="8"/>
      <c r="NFV23" s="6"/>
      <c r="NFW23" s="8"/>
      <c r="NFX23" s="8"/>
      <c r="NFY23" s="6"/>
      <c r="NFZ23" s="6"/>
      <c r="NGA23" s="8"/>
      <c r="NGB23" s="8"/>
      <c r="NGC23" s="8"/>
      <c r="NGD23" s="28"/>
      <c r="NGE23" s="7"/>
      <c r="NGF23" s="8"/>
      <c r="NGG23" s="7"/>
      <c r="NGH23" s="7"/>
      <c r="NGI23" s="6"/>
      <c r="NGJ23" s="7"/>
      <c r="NGK23" s="8"/>
      <c r="NGL23" s="6"/>
      <c r="NGM23" s="8"/>
      <c r="NGN23" s="6"/>
      <c r="NGO23" s="8"/>
      <c r="NGP23" s="8"/>
      <c r="NGQ23" s="6"/>
      <c r="NGR23" s="6"/>
      <c r="NGS23" s="8"/>
      <c r="NGT23" s="8"/>
      <c r="NGU23" s="8"/>
      <c r="NGV23" s="28"/>
      <c r="NGW23" s="7"/>
      <c r="NGX23" s="8"/>
      <c r="NGY23" s="7"/>
      <c r="NGZ23" s="7"/>
      <c r="NHA23" s="6"/>
      <c r="NHB23" s="7"/>
      <c r="NHC23" s="8"/>
      <c r="NHD23" s="6"/>
      <c r="NHE23" s="8"/>
      <c r="NHF23" s="6"/>
      <c r="NHG23" s="8"/>
      <c r="NHH23" s="8"/>
      <c r="NHI23" s="6"/>
      <c r="NHJ23" s="6"/>
      <c r="NHK23" s="8"/>
      <c r="NHL23" s="8"/>
      <c r="NHM23" s="8"/>
      <c r="NHN23" s="28"/>
      <c r="NHO23" s="7"/>
      <c r="NHP23" s="8"/>
      <c r="NHQ23" s="7"/>
      <c r="NHR23" s="7"/>
      <c r="NHS23" s="6"/>
      <c r="NHT23" s="7"/>
      <c r="NHU23" s="8"/>
      <c r="NHV23" s="6"/>
      <c r="NHW23" s="8"/>
      <c r="NHX23" s="6"/>
      <c r="NHY23" s="8"/>
      <c r="NHZ23" s="8"/>
      <c r="NIA23" s="6"/>
      <c r="NIB23" s="6"/>
      <c r="NIC23" s="8"/>
      <c r="NID23" s="8"/>
      <c r="NIE23" s="8"/>
      <c r="NIF23" s="28"/>
      <c r="NIG23" s="7"/>
      <c r="NIH23" s="8"/>
      <c r="NII23" s="7"/>
      <c r="NIJ23" s="7"/>
      <c r="NIK23" s="6"/>
      <c r="NIL23" s="7"/>
      <c r="NIM23" s="8"/>
      <c r="NIN23" s="6"/>
      <c r="NIO23" s="8"/>
      <c r="NIP23" s="6"/>
      <c r="NIQ23" s="8"/>
      <c r="NIR23" s="8"/>
      <c r="NIS23" s="6"/>
      <c r="NIT23" s="6"/>
      <c r="NIU23" s="8"/>
      <c r="NIV23" s="8"/>
      <c r="NIW23" s="8"/>
      <c r="NIX23" s="28"/>
      <c r="NIY23" s="7"/>
      <c r="NIZ23" s="8"/>
      <c r="NJA23" s="7"/>
      <c r="NJB23" s="7"/>
      <c r="NJC23" s="6"/>
      <c r="NJD23" s="7"/>
      <c r="NJE23" s="8"/>
      <c r="NJF23" s="6"/>
      <c r="NJG23" s="8"/>
      <c r="NJH23" s="6"/>
      <c r="NJI23" s="8"/>
      <c r="NJJ23" s="8"/>
      <c r="NJK23" s="6"/>
      <c r="NJL23" s="6"/>
      <c r="NJM23" s="8"/>
      <c r="NJN23" s="8"/>
      <c r="NJO23" s="8"/>
      <c r="NJP23" s="28"/>
      <c r="NJQ23" s="7"/>
      <c r="NJR23" s="8"/>
      <c r="NJS23" s="7"/>
      <c r="NJT23" s="7"/>
      <c r="NJU23" s="6"/>
      <c r="NJV23" s="7"/>
      <c r="NJW23" s="8"/>
      <c r="NJX23" s="6"/>
      <c r="NJY23" s="8"/>
      <c r="NJZ23" s="6"/>
      <c r="NKA23" s="8"/>
      <c r="NKB23" s="8"/>
      <c r="NKC23" s="6"/>
      <c r="NKD23" s="6"/>
      <c r="NKE23" s="8"/>
      <c r="NKF23" s="8"/>
      <c r="NKG23" s="8"/>
      <c r="NKH23" s="28"/>
      <c r="NKI23" s="7"/>
      <c r="NKJ23" s="8"/>
      <c r="NKK23" s="7"/>
      <c r="NKL23" s="7"/>
      <c r="NKM23" s="6"/>
      <c r="NKN23" s="7"/>
      <c r="NKO23" s="8"/>
      <c r="NKP23" s="6"/>
      <c r="NKQ23" s="8"/>
      <c r="NKR23" s="6"/>
      <c r="NKS23" s="8"/>
      <c r="NKT23" s="8"/>
      <c r="NKU23" s="6"/>
      <c r="NKV23" s="6"/>
      <c r="NKW23" s="8"/>
      <c r="NKX23" s="8"/>
      <c r="NKY23" s="8"/>
      <c r="NKZ23" s="28"/>
      <c r="NLA23" s="7"/>
      <c r="NLB23" s="8"/>
      <c r="NLC23" s="7"/>
      <c r="NLD23" s="7"/>
      <c r="NLE23" s="6"/>
      <c r="NLF23" s="7"/>
      <c r="NLG23" s="8"/>
      <c r="NLH23" s="6"/>
      <c r="NLI23" s="8"/>
      <c r="NLJ23" s="6"/>
      <c r="NLK23" s="8"/>
      <c r="NLL23" s="8"/>
      <c r="NLM23" s="6"/>
      <c r="NLN23" s="6"/>
      <c r="NLO23" s="8"/>
      <c r="NLP23" s="8"/>
      <c r="NLQ23" s="8"/>
      <c r="NLR23" s="28"/>
      <c r="NLS23" s="7"/>
      <c r="NLT23" s="8"/>
      <c r="NLU23" s="7"/>
      <c r="NLV23" s="7"/>
      <c r="NLW23" s="6"/>
      <c r="NLX23" s="7"/>
      <c r="NLY23" s="8"/>
      <c r="NLZ23" s="6"/>
      <c r="NMA23" s="8"/>
      <c r="NMB23" s="6"/>
      <c r="NMC23" s="8"/>
      <c r="NMD23" s="8"/>
      <c r="NME23" s="6"/>
      <c r="NMF23" s="6"/>
      <c r="NMG23" s="8"/>
      <c r="NMH23" s="8"/>
      <c r="NMI23" s="8"/>
      <c r="NMJ23" s="28"/>
      <c r="NMK23" s="7"/>
      <c r="NML23" s="8"/>
      <c r="NMM23" s="7"/>
      <c r="NMN23" s="7"/>
      <c r="NMO23" s="6"/>
      <c r="NMP23" s="7"/>
      <c r="NMQ23" s="8"/>
      <c r="NMR23" s="6"/>
      <c r="NMS23" s="8"/>
      <c r="NMT23" s="6"/>
      <c r="NMU23" s="8"/>
      <c r="NMV23" s="8"/>
      <c r="NMW23" s="6"/>
      <c r="NMX23" s="6"/>
      <c r="NMY23" s="8"/>
      <c r="NMZ23" s="8"/>
      <c r="NNA23" s="8"/>
      <c r="NNB23" s="28"/>
      <c r="NNC23" s="7"/>
      <c r="NND23" s="8"/>
      <c r="NNE23" s="7"/>
      <c r="NNF23" s="7"/>
      <c r="NNG23" s="6"/>
      <c r="NNH23" s="7"/>
      <c r="NNI23" s="8"/>
      <c r="NNJ23" s="6"/>
      <c r="NNK23" s="8"/>
      <c r="NNL23" s="6"/>
      <c r="NNM23" s="8"/>
      <c r="NNN23" s="8"/>
      <c r="NNO23" s="6"/>
      <c r="NNP23" s="6"/>
      <c r="NNQ23" s="8"/>
      <c r="NNR23" s="8"/>
      <c r="NNS23" s="8"/>
      <c r="NNT23" s="28"/>
      <c r="NNU23" s="7"/>
      <c r="NNV23" s="8"/>
      <c r="NNW23" s="7"/>
      <c r="NNX23" s="7"/>
      <c r="NNY23" s="6"/>
      <c r="NNZ23" s="7"/>
      <c r="NOA23" s="8"/>
      <c r="NOB23" s="6"/>
      <c r="NOC23" s="8"/>
      <c r="NOD23" s="6"/>
      <c r="NOE23" s="8"/>
      <c r="NOF23" s="8"/>
      <c r="NOG23" s="6"/>
      <c r="NOH23" s="6"/>
      <c r="NOI23" s="8"/>
      <c r="NOJ23" s="8"/>
      <c r="NOK23" s="8"/>
      <c r="NOL23" s="28"/>
      <c r="NOM23" s="7"/>
      <c r="NON23" s="8"/>
      <c r="NOO23" s="7"/>
      <c r="NOP23" s="7"/>
      <c r="NOQ23" s="6"/>
      <c r="NOR23" s="7"/>
      <c r="NOS23" s="8"/>
      <c r="NOT23" s="6"/>
      <c r="NOU23" s="8"/>
      <c r="NOV23" s="6"/>
      <c r="NOW23" s="8"/>
      <c r="NOX23" s="8"/>
      <c r="NOY23" s="6"/>
      <c r="NOZ23" s="6"/>
      <c r="NPA23" s="8"/>
      <c r="NPB23" s="8"/>
      <c r="NPC23" s="8"/>
      <c r="NPD23" s="28"/>
      <c r="NPE23" s="7"/>
      <c r="NPF23" s="8"/>
      <c r="NPG23" s="7"/>
      <c r="NPH23" s="7"/>
      <c r="NPI23" s="6"/>
      <c r="NPJ23" s="7"/>
      <c r="NPK23" s="8"/>
      <c r="NPL23" s="6"/>
      <c r="NPM23" s="8"/>
      <c r="NPN23" s="6"/>
      <c r="NPO23" s="8"/>
      <c r="NPP23" s="8"/>
      <c r="NPQ23" s="6"/>
      <c r="NPR23" s="6"/>
      <c r="NPS23" s="8"/>
      <c r="NPT23" s="8"/>
      <c r="NPU23" s="8"/>
      <c r="NPV23" s="28"/>
      <c r="NPW23" s="7"/>
      <c r="NPX23" s="8"/>
      <c r="NPY23" s="7"/>
      <c r="NPZ23" s="7"/>
      <c r="NQA23" s="6"/>
      <c r="NQB23" s="7"/>
      <c r="NQC23" s="8"/>
      <c r="NQD23" s="6"/>
      <c r="NQE23" s="8"/>
      <c r="NQF23" s="6"/>
      <c r="NQG23" s="8"/>
      <c r="NQH23" s="8"/>
      <c r="NQI23" s="6"/>
      <c r="NQJ23" s="6"/>
      <c r="NQK23" s="8"/>
      <c r="NQL23" s="8"/>
      <c r="NQM23" s="8"/>
      <c r="NQN23" s="28"/>
      <c r="NQO23" s="7"/>
      <c r="NQP23" s="8"/>
      <c r="NQQ23" s="7"/>
      <c r="NQR23" s="7"/>
      <c r="NQS23" s="6"/>
      <c r="NQT23" s="7"/>
      <c r="NQU23" s="8"/>
      <c r="NQV23" s="6"/>
      <c r="NQW23" s="8"/>
      <c r="NQX23" s="6"/>
      <c r="NQY23" s="8"/>
      <c r="NQZ23" s="8"/>
      <c r="NRA23" s="6"/>
      <c r="NRB23" s="6"/>
      <c r="NRC23" s="8"/>
      <c r="NRD23" s="8"/>
      <c r="NRE23" s="8"/>
      <c r="NRF23" s="28"/>
      <c r="NRG23" s="7"/>
      <c r="NRH23" s="8"/>
      <c r="NRI23" s="7"/>
      <c r="NRJ23" s="7"/>
      <c r="NRK23" s="6"/>
      <c r="NRL23" s="7"/>
      <c r="NRM23" s="8"/>
      <c r="NRN23" s="6"/>
      <c r="NRO23" s="8"/>
      <c r="NRP23" s="6"/>
      <c r="NRQ23" s="8"/>
      <c r="NRR23" s="8"/>
      <c r="NRS23" s="6"/>
      <c r="NRT23" s="6"/>
      <c r="NRU23" s="8"/>
      <c r="NRV23" s="8"/>
      <c r="NRW23" s="8"/>
      <c r="NRX23" s="28"/>
      <c r="NRY23" s="7"/>
      <c r="NRZ23" s="8"/>
      <c r="NSA23" s="7"/>
      <c r="NSB23" s="7"/>
      <c r="NSC23" s="6"/>
      <c r="NSD23" s="7"/>
      <c r="NSE23" s="8"/>
      <c r="NSF23" s="6"/>
      <c r="NSG23" s="8"/>
      <c r="NSH23" s="6"/>
      <c r="NSI23" s="8"/>
      <c r="NSJ23" s="8"/>
      <c r="NSK23" s="6"/>
      <c r="NSL23" s="6"/>
      <c r="NSM23" s="8"/>
      <c r="NSN23" s="8"/>
      <c r="NSO23" s="8"/>
      <c r="NSP23" s="28"/>
      <c r="NSQ23" s="7"/>
      <c r="NSR23" s="8"/>
      <c r="NSS23" s="7"/>
      <c r="NST23" s="7"/>
      <c r="NSU23" s="6"/>
      <c r="NSV23" s="7"/>
      <c r="NSW23" s="8"/>
      <c r="NSX23" s="6"/>
      <c r="NSY23" s="8"/>
      <c r="NSZ23" s="6"/>
      <c r="NTA23" s="8"/>
      <c r="NTB23" s="8"/>
      <c r="NTC23" s="6"/>
      <c r="NTD23" s="6"/>
      <c r="NTE23" s="8"/>
      <c r="NTF23" s="8"/>
      <c r="NTG23" s="8"/>
      <c r="NTH23" s="28"/>
      <c r="NTI23" s="7"/>
      <c r="NTJ23" s="8"/>
      <c r="NTK23" s="7"/>
      <c r="NTL23" s="7"/>
      <c r="NTM23" s="6"/>
      <c r="NTN23" s="7"/>
      <c r="NTO23" s="8"/>
      <c r="NTP23" s="6"/>
      <c r="NTQ23" s="8"/>
      <c r="NTR23" s="6"/>
      <c r="NTS23" s="8"/>
      <c r="NTT23" s="8"/>
      <c r="NTU23" s="6"/>
      <c r="NTV23" s="6"/>
      <c r="NTW23" s="8"/>
      <c r="NTX23" s="8"/>
      <c r="NTY23" s="8"/>
      <c r="NTZ23" s="28"/>
      <c r="NUA23" s="7"/>
      <c r="NUB23" s="8"/>
      <c r="NUC23" s="7"/>
      <c r="NUD23" s="7"/>
      <c r="NUE23" s="6"/>
      <c r="NUF23" s="7"/>
      <c r="NUG23" s="8"/>
      <c r="NUH23" s="6"/>
      <c r="NUI23" s="8"/>
      <c r="NUJ23" s="6"/>
      <c r="NUK23" s="8"/>
      <c r="NUL23" s="8"/>
      <c r="NUM23" s="6"/>
      <c r="NUN23" s="6"/>
      <c r="NUO23" s="8"/>
      <c r="NUP23" s="8"/>
      <c r="NUQ23" s="8"/>
      <c r="NUR23" s="28"/>
      <c r="NUS23" s="7"/>
      <c r="NUT23" s="8"/>
      <c r="NUU23" s="7"/>
      <c r="NUV23" s="7"/>
      <c r="NUW23" s="6"/>
      <c r="NUX23" s="7"/>
      <c r="NUY23" s="8"/>
      <c r="NUZ23" s="6"/>
      <c r="NVA23" s="8"/>
      <c r="NVB23" s="6"/>
      <c r="NVC23" s="8"/>
      <c r="NVD23" s="8"/>
      <c r="NVE23" s="6"/>
      <c r="NVF23" s="6"/>
      <c r="NVG23" s="8"/>
      <c r="NVH23" s="8"/>
      <c r="NVI23" s="8"/>
      <c r="NVJ23" s="28"/>
      <c r="NVK23" s="7"/>
      <c r="NVL23" s="8"/>
      <c r="NVM23" s="7"/>
      <c r="NVN23" s="7"/>
      <c r="NVO23" s="6"/>
      <c r="NVP23" s="7"/>
      <c r="NVQ23" s="8"/>
      <c r="NVR23" s="6"/>
      <c r="NVS23" s="8"/>
      <c r="NVT23" s="6"/>
      <c r="NVU23" s="8"/>
      <c r="NVV23" s="8"/>
      <c r="NVW23" s="6"/>
      <c r="NVX23" s="6"/>
      <c r="NVY23" s="8"/>
      <c r="NVZ23" s="8"/>
      <c r="NWA23" s="8"/>
      <c r="NWB23" s="28"/>
      <c r="NWC23" s="7"/>
      <c r="NWD23" s="8"/>
      <c r="NWE23" s="7"/>
      <c r="NWF23" s="7"/>
      <c r="NWG23" s="6"/>
      <c r="NWH23" s="7"/>
      <c r="NWI23" s="8"/>
      <c r="NWJ23" s="6"/>
      <c r="NWK23" s="8"/>
      <c r="NWL23" s="6"/>
      <c r="NWM23" s="8"/>
      <c r="NWN23" s="8"/>
      <c r="NWO23" s="6"/>
      <c r="NWP23" s="6"/>
      <c r="NWQ23" s="8"/>
      <c r="NWR23" s="8"/>
      <c r="NWS23" s="8"/>
      <c r="NWT23" s="28"/>
      <c r="NWU23" s="7"/>
      <c r="NWV23" s="8"/>
      <c r="NWW23" s="7"/>
      <c r="NWX23" s="7"/>
      <c r="NWY23" s="6"/>
      <c r="NWZ23" s="7"/>
      <c r="NXA23" s="8"/>
      <c r="NXB23" s="6"/>
      <c r="NXC23" s="8"/>
      <c r="NXD23" s="6"/>
      <c r="NXE23" s="8"/>
      <c r="NXF23" s="8"/>
      <c r="NXG23" s="6"/>
      <c r="NXH23" s="6"/>
      <c r="NXI23" s="8"/>
      <c r="NXJ23" s="8"/>
      <c r="NXK23" s="8"/>
      <c r="NXL23" s="28"/>
      <c r="NXM23" s="7"/>
      <c r="NXN23" s="8"/>
      <c r="NXO23" s="7"/>
      <c r="NXP23" s="7"/>
      <c r="NXQ23" s="6"/>
      <c r="NXR23" s="7"/>
      <c r="NXS23" s="8"/>
      <c r="NXT23" s="6"/>
      <c r="NXU23" s="8"/>
      <c r="NXV23" s="6"/>
      <c r="NXW23" s="8"/>
      <c r="NXX23" s="8"/>
      <c r="NXY23" s="6"/>
      <c r="NXZ23" s="6"/>
      <c r="NYA23" s="8"/>
      <c r="NYB23" s="8"/>
      <c r="NYC23" s="8"/>
      <c r="NYD23" s="28"/>
      <c r="NYE23" s="7"/>
      <c r="NYF23" s="8"/>
      <c r="NYG23" s="7"/>
      <c r="NYH23" s="7"/>
      <c r="NYI23" s="6"/>
      <c r="NYJ23" s="7"/>
      <c r="NYK23" s="8"/>
      <c r="NYL23" s="6"/>
      <c r="NYM23" s="8"/>
      <c r="NYN23" s="6"/>
      <c r="NYO23" s="8"/>
      <c r="NYP23" s="8"/>
      <c r="NYQ23" s="6"/>
      <c r="NYR23" s="6"/>
      <c r="NYS23" s="8"/>
      <c r="NYT23" s="8"/>
      <c r="NYU23" s="8"/>
      <c r="NYV23" s="28"/>
      <c r="NYW23" s="7"/>
      <c r="NYX23" s="8"/>
      <c r="NYY23" s="7"/>
      <c r="NYZ23" s="7"/>
      <c r="NZA23" s="6"/>
      <c r="NZB23" s="7"/>
      <c r="NZC23" s="8"/>
      <c r="NZD23" s="6"/>
      <c r="NZE23" s="8"/>
      <c r="NZF23" s="6"/>
      <c r="NZG23" s="8"/>
      <c r="NZH23" s="8"/>
      <c r="NZI23" s="6"/>
      <c r="NZJ23" s="6"/>
      <c r="NZK23" s="8"/>
      <c r="NZL23" s="8"/>
      <c r="NZM23" s="8"/>
      <c r="NZN23" s="28"/>
      <c r="NZO23" s="7"/>
      <c r="NZP23" s="8"/>
      <c r="NZQ23" s="7"/>
      <c r="NZR23" s="7"/>
      <c r="NZS23" s="6"/>
      <c r="NZT23" s="7"/>
      <c r="NZU23" s="8"/>
      <c r="NZV23" s="6"/>
      <c r="NZW23" s="8"/>
      <c r="NZX23" s="6"/>
      <c r="NZY23" s="8"/>
      <c r="NZZ23" s="8"/>
      <c r="OAA23" s="6"/>
      <c r="OAB23" s="6"/>
      <c r="OAC23" s="8"/>
      <c r="OAD23" s="8"/>
      <c r="OAE23" s="8"/>
      <c r="OAF23" s="28"/>
      <c r="OAG23" s="7"/>
      <c r="OAH23" s="8"/>
      <c r="OAI23" s="7"/>
      <c r="OAJ23" s="7"/>
      <c r="OAK23" s="6"/>
      <c r="OAL23" s="7"/>
      <c r="OAM23" s="8"/>
      <c r="OAN23" s="6"/>
      <c r="OAO23" s="8"/>
      <c r="OAP23" s="6"/>
      <c r="OAQ23" s="8"/>
      <c r="OAR23" s="8"/>
      <c r="OAS23" s="6"/>
      <c r="OAT23" s="6"/>
      <c r="OAU23" s="8"/>
      <c r="OAV23" s="8"/>
      <c r="OAW23" s="8"/>
      <c r="OAX23" s="28"/>
      <c r="OAY23" s="7"/>
      <c r="OAZ23" s="8"/>
      <c r="OBA23" s="7"/>
      <c r="OBB23" s="7"/>
      <c r="OBC23" s="6"/>
      <c r="OBD23" s="7"/>
      <c r="OBE23" s="8"/>
      <c r="OBF23" s="6"/>
      <c r="OBG23" s="8"/>
      <c r="OBH23" s="6"/>
      <c r="OBI23" s="8"/>
      <c r="OBJ23" s="8"/>
      <c r="OBK23" s="6"/>
      <c r="OBL23" s="6"/>
      <c r="OBM23" s="8"/>
      <c r="OBN23" s="8"/>
      <c r="OBO23" s="8"/>
      <c r="OBP23" s="28"/>
      <c r="OBQ23" s="7"/>
      <c r="OBR23" s="8"/>
      <c r="OBS23" s="7"/>
      <c r="OBT23" s="7"/>
      <c r="OBU23" s="6"/>
      <c r="OBV23" s="7"/>
      <c r="OBW23" s="8"/>
      <c r="OBX23" s="6"/>
      <c r="OBY23" s="8"/>
      <c r="OBZ23" s="6"/>
      <c r="OCA23" s="8"/>
      <c r="OCB23" s="8"/>
      <c r="OCC23" s="6"/>
      <c r="OCD23" s="6"/>
      <c r="OCE23" s="8"/>
      <c r="OCF23" s="8"/>
      <c r="OCG23" s="8"/>
      <c r="OCH23" s="28"/>
      <c r="OCI23" s="7"/>
      <c r="OCJ23" s="8"/>
      <c r="OCK23" s="7"/>
      <c r="OCL23" s="7"/>
      <c r="OCM23" s="6"/>
      <c r="OCN23" s="7"/>
      <c r="OCO23" s="8"/>
      <c r="OCP23" s="6"/>
      <c r="OCQ23" s="8"/>
      <c r="OCR23" s="6"/>
      <c r="OCS23" s="8"/>
      <c r="OCT23" s="8"/>
      <c r="OCU23" s="6"/>
      <c r="OCV23" s="6"/>
      <c r="OCW23" s="8"/>
      <c r="OCX23" s="8"/>
      <c r="OCY23" s="8"/>
      <c r="OCZ23" s="28"/>
      <c r="ODA23" s="7"/>
      <c r="ODB23" s="8"/>
      <c r="ODC23" s="7"/>
      <c r="ODD23" s="7"/>
      <c r="ODE23" s="6"/>
      <c r="ODF23" s="7"/>
      <c r="ODG23" s="8"/>
      <c r="ODH23" s="6"/>
      <c r="ODI23" s="8"/>
      <c r="ODJ23" s="6"/>
      <c r="ODK23" s="8"/>
      <c r="ODL23" s="8"/>
      <c r="ODM23" s="6"/>
      <c r="ODN23" s="6"/>
      <c r="ODO23" s="8"/>
      <c r="ODP23" s="8"/>
      <c r="ODQ23" s="8"/>
      <c r="ODR23" s="28"/>
      <c r="ODS23" s="7"/>
      <c r="ODT23" s="8"/>
      <c r="ODU23" s="7"/>
      <c r="ODV23" s="7"/>
      <c r="ODW23" s="6"/>
      <c r="ODX23" s="7"/>
      <c r="ODY23" s="8"/>
      <c r="ODZ23" s="6"/>
      <c r="OEA23" s="8"/>
      <c r="OEB23" s="6"/>
      <c r="OEC23" s="8"/>
      <c r="OED23" s="8"/>
      <c r="OEE23" s="6"/>
      <c r="OEF23" s="6"/>
      <c r="OEG23" s="8"/>
      <c r="OEH23" s="8"/>
      <c r="OEI23" s="8"/>
      <c r="OEJ23" s="28"/>
      <c r="OEK23" s="7"/>
      <c r="OEL23" s="8"/>
      <c r="OEM23" s="7"/>
      <c r="OEN23" s="7"/>
      <c r="OEO23" s="6"/>
      <c r="OEP23" s="7"/>
      <c r="OEQ23" s="8"/>
      <c r="OER23" s="6"/>
      <c r="OES23" s="8"/>
      <c r="OET23" s="6"/>
      <c r="OEU23" s="8"/>
      <c r="OEV23" s="8"/>
      <c r="OEW23" s="6"/>
      <c r="OEX23" s="6"/>
      <c r="OEY23" s="8"/>
      <c r="OEZ23" s="8"/>
      <c r="OFA23" s="8"/>
      <c r="OFB23" s="28"/>
      <c r="OFC23" s="7"/>
      <c r="OFD23" s="8"/>
      <c r="OFE23" s="7"/>
      <c r="OFF23" s="7"/>
      <c r="OFG23" s="6"/>
      <c r="OFH23" s="7"/>
      <c r="OFI23" s="8"/>
      <c r="OFJ23" s="6"/>
      <c r="OFK23" s="8"/>
      <c r="OFL23" s="6"/>
      <c r="OFM23" s="8"/>
      <c r="OFN23" s="8"/>
      <c r="OFO23" s="6"/>
      <c r="OFP23" s="6"/>
      <c r="OFQ23" s="8"/>
      <c r="OFR23" s="8"/>
      <c r="OFS23" s="8"/>
      <c r="OFT23" s="28"/>
      <c r="OFU23" s="7"/>
      <c r="OFV23" s="8"/>
      <c r="OFW23" s="7"/>
      <c r="OFX23" s="7"/>
      <c r="OFY23" s="6"/>
      <c r="OFZ23" s="7"/>
      <c r="OGA23" s="8"/>
      <c r="OGB23" s="6"/>
      <c r="OGC23" s="8"/>
      <c r="OGD23" s="6"/>
      <c r="OGE23" s="8"/>
      <c r="OGF23" s="8"/>
      <c r="OGG23" s="6"/>
      <c r="OGH23" s="6"/>
      <c r="OGI23" s="8"/>
      <c r="OGJ23" s="8"/>
      <c r="OGK23" s="8"/>
      <c r="OGL23" s="28"/>
      <c r="OGM23" s="7"/>
      <c r="OGN23" s="8"/>
      <c r="OGO23" s="7"/>
      <c r="OGP23" s="7"/>
      <c r="OGQ23" s="6"/>
      <c r="OGR23" s="7"/>
      <c r="OGS23" s="8"/>
      <c r="OGT23" s="6"/>
      <c r="OGU23" s="8"/>
      <c r="OGV23" s="6"/>
      <c r="OGW23" s="8"/>
      <c r="OGX23" s="8"/>
      <c r="OGY23" s="6"/>
      <c r="OGZ23" s="6"/>
      <c r="OHA23" s="8"/>
      <c r="OHB23" s="8"/>
      <c r="OHC23" s="8"/>
      <c r="OHD23" s="28"/>
      <c r="OHE23" s="7"/>
      <c r="OHF23" s="8"/>
      <c r="OHG23" s="7"/>
      <c r="OHH23" s="7"/>
      <c r="OHI23" s="6"/>
      <c r="OHJ23" s="7"/>
      <c r="OHK23" s="8"/>
      <c r="OHL23" s="6"/>
      <c r="OHM23" s="8"/>
      <c r="OHN23" s="6"/>
      <c r="OHO23" s="8"/>
      <c r="OHP23" s="8"/>
      <c r="OHQ23" s="6"/>
      <c r="OHR23" s="6"/>
      <c r="OHS23" s="8"/>
      <c r="OHT23" s="8"/>
      <c r="OHU23" s="8"/>
      <c r="OHV23" s="28"/>
      <c r="OHW23" s="7"/>
      <c r="OHX23" s="8"/>
      <c r="OHY23" s="7"/>
      <c r="OHZ23" s="7"/>
      <c r="OIA23" s="6"/>
      <c r="OIB23" s="7"/>
      <c r="OIC23" s="8"/>
      <c r="OID23" s="6"/>
      <c r="OIE23" s="8"/>
      <c r="OIF23" s="6"/>
      <c r="OIG23" s="8"/>
      <c r="OIH23" s="8"/>
      <c r="OII23" s="6"/>
      <c r="OIJ23" s="6"/>
      <c r="OIK23" s="8"/>
      <c r="OIL23" s="8"/>
      <c r="OIM23" s="8"/>
      <c r="OIN23" s="28"/>
      <c r="OIO23" s="7"/>
      <c r="OIP23" s="8"/>
      <c r="OIQ23" s="7"/>
      <c r="OIR23" s="7"/>
      <c r="OIS23" s="6"/>
      <c r="OIT23" s="7"/>
      <c r="OIU23" s="8"/>
      <c r="OIV23" s="6"/>
      <c r="OIW23" s="8"/>
      <c r="OIX23" s="6"/>
      <c r="OIY23" s="8"/>
      <c r="OIZ23" s="8"/>
      <c r="OJA23" s="6"/>
      <c r="OJB23" s="6"/>
      <c r="OJC23" s="8"/>
      <c r="OJD23" s="8"/>
      <c r="OJE23" s="8"/>
      <c r="OJF23" s="28"/>
      <c r="OJG23" s="7"/>
      <c r="OJH23" s="8"/>
      <c r="OJI23" s="7"/>
      <c r="OJJ23" s="7"/>
      <c r="OJK23" s="6"/>
      <c r="OJL23" s="7"/>
      <c r="OJM23" s="8"/>
      <c r="OJN23" s="6"/>
      <c r="OJO23" s="8"/>
      <c r="OJP23" s="6"/>
      <c r="OJQ23" s="8"/>
      <c r="OJR23" s="8"/>
      <c r="OJS23" s="6"/>
      <c r="OJT23" s="6"/>
      <c r="OJU23" s="8"/>
      <c r="OJV23" s="8"/>
      <c r="OJW23" s="8"/>
      <c r="OJX23" s="28"/>
      <c r="OJY23" s="7"/>
      <c r="OJZ23" s="8"/>
      <c r="OKA23" s="7"/>
      <c r="OKB23" s="7"/>
      <c r="OKC23" s="6"/>
      <c r="OKD23" s="7"/>
      <c r="OKE23" s="8"/>
      <c r="OKF23" s="6"/>
      <c r="OKG23" s="8"/>
      <c r="OKH23" s="6"/>
      <c r="OKI23" s="8"/>
      <c r="OKJ23" s="8"/>
      <c r="OKK23" s="6"/>
      <c r="OKL23" s="6"/>
      <c r="OKM23" s="8"/>
      <c r="OKN23" s="8"/>
      <c r="OKO23" s="8"/>
      <c r="OKP23" s="28"/>
      <c r="OKQ23" s="7"/>
      <c r="OKR23" s="8"/>
      <c r="OKS23" s="7"/>
      <c r="OKT23" s="7"/>
      <c r="OKU23" s="6"/>
      <c r="OKV23" s="7"/>
      <c r="OKW23" s="8"/>
      <c r="OKX23" s="6"/>
      <c r="OKY23" s="8"/>
      <c r="OKZ23" s="6"/>
      <c r="OLA23" s="8"/>
      <c r="OLB23" s="8"/>
      <c r="OLC23" s="6"/>
      <c r="OLD23" s="6"/>
      <c r="OLE23" s="8"/>
      <c r="OLF23" s="8"/>
      <c r="OLG23" s="8"/>
      <c r="OLH23" s="28"/>
      <c r="OLI23" s="7"/>
      <c r="OLJ23" s="8"/>
      <c r="OLK23" s="7"/>
      <c r="OLL23" s="7"/>
      <c r="OLM23" s="6"/>
      <c r="OLN23" s="7"/>
      <c r="OLO23" s="8"/>
      <c r="OLP23" s="6"/>
      <c r="OLQ23" s="8"/>
      <c r="OLR23" s="6"/>
      <c r="OLS23" s="8"/>
      <c r="OLT23" s="8"/>
      <c r="OLU23" s="6"/>
      <c r="OLV23" s="6"/>
      <c r="OLW23" s="8"/>
      <c r="OLX23" s="8"/>
      <c r="OLY23" s="8"/>
      <c r="OLZ23" s="28"/>
      <c r="OMA23" s="7"/>
      <c r="OMB23" s="8"/>
      <c r="OMC23" s="7"/>
      <c r="OMD23" s="7"/>
      <c r="OME23" s="6"/>
      <c r="OMF23" s="7"/>
      <c r="OMG23" s="8"/>
      <c r="OMH23" s="6"/>
      <c r="OMI23" s="8"/>
      <c r="OMJ23" s="6"/>
      <c r="OMK23" s="8"/>
      <c r="OML23" s="8"/>
      <c r="OMM23" s="6"/>
      <c r="OMN23" s="6"/>
      <c r="OMO23" s="8"/>
      <c r="OMP23" s="8"/>
      <c r="OMQ23" s="8"/>
      <c r="OMR23" s="28"/>
      <c r="OMS23" s="7"/>
      <c r="OMT23" s="8"/>
      <c r="OMU23" s="7"/>
      <c r="OMV23" s="7"/>
      <c r="OMW23" s="6"/>
      <c r="OMX23" s="7"/>
      <c r="OMY23" s="8"/>
      <c r="OMZ23" s="6"/>
      <c r="ONA23" s="8"/>
      <c r="ONB23" s="6"/>
      <c r="ONC23" s="8"/>
      <c r="OND23" s="8"/>
      <c r="ONE23" s="6"/>
      <c r="ONF23" s="6"/>
      <c r="ONG23" s="8"/>
      <c r="ONH23" s="8"/>
      <c r="ONI23" s="8"/>
      <c r="ONJ23" s="28"/>
      <c r="ONK23" s="7"/>
      <c r="ONL23" s="8"/>
      <c r="ONM23" s="7"/>
      <c r="ONN23" s="7"/>
      <c r="ONO23" s="6"/>
      <c r="ONP23" s="7"/>
      <c r="ONQ23" s="8"/>
      <c r="ONR23" s="6"/>
      <c r="ONS23" s="8"/>
      <c r="ONT23" s="6"/>
      <c r="ONU23" s="8"/>
      <c r="ONV23" s="8"/>
      <c r="ONW23" s="6"/>
      <c r="ONX23" s="6"/>
      <c r="ONY23" s="8"/>
      <c r="ONZ23" s="8"/>
      <c r="OOA23" s="8"/>
      <c r="OOB23" s="28"/>
      <c r="OOC23" s="7"/>
      <c r="OOD23" s="8"/>
      <c r="OOE23" s="7"/>
      <c r="OOF23" s="7"/>
      <c r="OOG23" s="6"/>
      <c r="OOH23" s="7"/>
      <c r="OOI23" s="8"/>
      <c r="OOJ23" s="6"/>
      <c r="OOK23" s="8"/>
      <c r="OOL23" s="6"/>
      <c r="OOM23" s="8"/>
      <c r="OON23" s="8"/>
      <c r="OOO23" s="6"/>
      <c r="OOP23" s="6"/>
      <c r="OOQ23" s="8"/>
      <c r="OOR23" s="8"/>
      <c r="OOS23" s="8"/>
      <c r="OOT23" s="28"/>
      <c r="OOU23" s="7"/>
      <c r="OOV23" s="8"/>
      <c r="OOW23" s="7"/>
      <c r="OOX23" s="7"/>
      <c r="OOY23" s="6"/>
      <c r="OOZ23" s="7"/>
      <c r="OPA23" s="8"/>
      <c r="OPB23" s="6"/>
      <c r="OPC23" s="8"/>
      <c r="OPD23" s="6"/>
      <c r="OPE23" s="8"/>
      <c r="OPF23" s="8"/>
      <c r="OPG23" s="6"/>
      <c r="OPH23" s="6"/>
      <c r="OPI23" s="8"/>
      <c r="OPJ23" s="8"/>
      <c r="OPK23" s="8"/>
      <c r="OPL23" s="28"/>
      <c r="OPM23" s="7"/>
      <c r="OPN23" s="8"/>
      <c r="OPO23" s="7"/>
      <c r="OPP23" s="7"/>
      <c r="OPQ23" s="6"/>
      <c r="OPR23" s="7"/>
      <c r="OPS23" s="8"/>
      <c r="OPT23" s="6"/>
      <c r="OPU23" s="8"/>
      <c r="OPV23" s="6"/>
      <c r="OPW23" s="8"/>
      <c r="OPX23" s="8"/>
      <c r="OPY23" s="6"/>
      <c r="OPZ23" s="6"/>
      <c r="OQA23" s="8"/>
      <c r="OQB23" s="8"/>
      <c r="OQC23" s="8"/>
      <c r="OQD23" s="28"/>
      <c r="OQE23" s="7"/>
      <c r="OQF23" s="8"/>
      <c r="OQG23" s="7"/>
      <c r="OQH23" s="7"/>
      <c r="OQI23" s="6"/>
      <c r="OQJ23" s="7"/>
      <c r="OQK23" s="8"/>
      <c r="OQL23" s="6"/>
      <c r="OQM23" s="8"/>
      <c r="OQN23" s="6"/>
      <c r="OQO23" s="8"/>
      <c r="OQP23" s="8"/>
      <c r="OQQ23" s="6"/>
      <c r="OQR23" s="6"/>
      <c r="OQS23" s="8"/>
      <c r="OQT23" s="8"/>
      <c r="OQU23" s="8"/>
      <c r="OQV23" s="28"/>
      <c r="OQW23" s="7"/>
      <c r="OQX23" s="8"/>
      <c r="OQY23" s="7"/>
      <c r="OQZ23" s="7"/>
      <c r="ORA23" s="6"/>
      <c r="ORB23" s="7"/>
      <c r="ORC23" s="8"/>
      <c r="ORD23" s="6"/>
      <c r="ORE23" s="8"/>
      <c r="ORF23" s="6"/>
      <c r="ORG23" s="8"/>
      <c r="ORH23" s="8"/>
      <c r="ORI23" s="6"/>
      <c r="ORJ23" s="6"/>
      <c r="ORK23" s="8"/>
      <c r="ORL23" s="8"/>
      <c r="ORM23" s="8"/>
      <c r="ORN23" s="28"/>
      <c r="ORO23" s="7"/>
      <c r="ORP23" s="8"/>
      <c r="ORQ23" s="7"/>
      <c r="ORR23" s="7"/>
      <c r="ORS23" s="6"/>
      <c r="ORT23" s="7"/>
      <c r="ORU23" s="8"/>
      <c r="ORV23" s="6"/>
      <c r="ORW23" s="8"/>
      <c r="ORX23" s="6"/>
      <c r="ORY23" s="8"/>
      <c r="ORZ23" s="8"/>
      <c r="OSA23" s="6"/>
      <c r="OSB23" s="6"/>
      <c r="OSC23" s="8"/>
      <c r="OSD23" s="8"/>
      <c r="OSE23" s="8"/>
      <c r="OSF23" s="28"/>
      <c r="OSG23" s="7"/>
      <c r="OSH23" s="8"/>
      <c r="OSI23" s="7"/>
      <c r="OSJ23" s="7"/>
      <c r="OSK23" s="6"/>
      <c r="OSL23" s="7"/>
      <c r="OSM23" s="8"/>
      <c r="OSN23" s="6"/>
      <c r="OSO23" s="8"/>
      <c r="OSP23" s="6"/>
      <c r="OSQ23" s="8"/>
      <c r="OSR23" s="8"/>
      <c r="OSS23" s="6"/>
      <c r="OST23" s="6"/>
      <c r="OSU23" s="8"/>
      <c r="OSV23" s="8"/>
      <c r="OSW23" s="8"/>
      <c r="OSX23" s="28"/>
      <c r="OSY23" s="7"/>
      <c r="OSZ23" s="8"/>
      <c r="OTA23" s="7"/>
      <c r="OTB23" s="7"/>
      <c r="OTC23" s="6"/>
      <c r="OTD23" s="7"/>
      <c r="OTE23" s="8"/>
      <c r="OTF23" s="6"/>
      <c r="OTG23" s="8"/>
      <c r="OTH23" s="6"/>
      <c r="OTI23" s="8"/>
      <c r="OTJ23" s="8"/>
      <c r="OTK23" s="6"/>
      <c r="OTL23" s="6"/>
      <c r="OTM23" s="8"/>
      <c r="OTN23" s="8"/>
      <c r="OTO23" s="8"/>
      <c r="OTP23" s="28"/>
      <c r="OTQ23" s="7"/>
      <c r="OTR23" s="8"/>
      <c r="OTS23" s="7"/>
      <c r="OTT23" s="7"/>
      <c r="OTU23" s="6"/>
      <c r="OTV23" s="7"/>
      <c r="OTW23" s="8"/>
      <c r="OTX23" s="6"/>
      <c r="OTY23" s="8"/>
      <c r="OTZ23" s="6"/>
      <c r="OUA23" s="8"/>
      <c r="OUB23" s="8"/>
      <c r="OUC23" s="6"/>
      <c r="OUD23" s="6"/>
      <c r="OUE23" s="8"/>
      <c r="OUF23" s="8"/>
      <c r="OUG23" s="8"/>
      <c r="OUH23" s="28"/>
      <c r="OUI23" s="7"/>
      <c r="OUJ23" s="8"/>
      <c r="OUK23" s="7"/>
      <c r="OUL23" s="7"/>
      <c r="OUM23" s="6"/>
      <c r="OUN23" s="7"/>
      <c r="OUO23" s="8"/>
      <c r="OUP23" s="6"/>
      <c r="OUQ23" s="8"/>
      <c r="OUR23" s="6"/>
      <c r="OUS23" s="8"/>
      <c r="OUT23" s="8"/>
      <c r="OUU23" s="6"/>
      <c r="OUV23" s="6"/>
      <c r="OUW23" s="8"/>
      <c r="OUX23" s="8"/>
      <c r="OUY23" s="8"/>
      <c r="OUZ23" s="28"/>
      <c r="OVA23" s="7"/>
      <c r="OVB23" s="8"/>
      <c r="OVC23" s="7"/>
      <c r="OVD23" s="7"/>
      <c r="OVE23" s="6"/>
      <c r="OVF23" s="7"/>
      <c r="OVG23" s="8"/>
      <c r="OVH23" s="6"/>
      <c r="OVI23" s="8"/>
      <c r="OVJ23" s="6"/>
      <c r="OVK23" s="8"/>
      <c r="OVL23" s="8"/>
      <c r="OVM23" s="6"/>
      <c r="OVN23" s="6"/>
      <c r="OVO23" s="8"/>
      <c r="OVP23" s="8"/>
      <c r="OVQ23" s="8"/>
      <c r="OVR23" s="28"/>
      <c r="OVS23" s="7"/>
      <c r="OVT23" s="8"/>
      <c r="OVU23" s="7"/>
      <c r="OVV23" s="7"/>
      <c r="OVW23" s="6"/>
      <c r="OVX23" s="7"/>
      <c r="OVY23" s="8"/>
      <c r="OVZ23" s="6"/>
      <c r="OWA23" s="8"/>
      <c r="OWB23" s="6"/>
      <c r="OWC23" s="8"/>
      <c r="OWD23" s="8"/>
      <c r="OWE23" s="6"/>
      <c r="OWF23" s="6"/>
      <c r="OWG23" s="8"/>
      <c r="OWH23" s="8"/>
      <c r="OWI23" s="8"/>
      <c r="OWJ23" s="28"/>
      <c r="OWK23" s="7"/>
      <c r="OWL23" s="8"/>
      <c r="OWM23" s="7"/>
      <c r="OWN23" s="7"/>
      <c r="OWO23" s="6"/>
      <c r="OWP23" s="7"/>
      <c r="OWQ23" s="8"/>
      <c r="OWR23" s="6"/>
      <c r="OWS23" s="8"/>
      <c r="OWT23" s="6"/>
      <c r="OWU23" s="8"/>
      <c r="OWV23" s="8"/>
      <c r="OWW23" s="6"/>
      <c r="OWX23" s="6"/>
      <c r="OWY23" s="8"/>
      <c r="OWZ23" s="8"/>
      <c r="OXA23" s="8"/>
      <c r="OXB23" s="28"/>
      <c r="OXC23" s="7"/>
      <c r="OXD23" s="8"/>
      <c r="OXE23" s="7"/>
      <c r="OXF23" s="7"/>
      <c r="OXG23" s="6"/>
      <c r="OXH23" s="7"/>
      <c r="OXI23" s="8"/>
      <c r="OXJ23" s="6"/>
      <c r="OXK23" s="8"/>
      <c r="OXL23" s="6"/>
      <c r="OXM23" s="8"/>
      <c r="OXN23" s="8"/>
      <c r="OXO23" s="6"/>
      <c r="OXP23" s="6"/>
      <c r="OXQ23" s="8"/>
      <c r="OXR23" s="8"/>
      <c r="OXS23" s="8"/>
      <c r="OXT23" s="28"/>
      <c r="OXU23" s="7"/>
      <c r="OXV23" s="8"/>
      <c r="OXW23" s="7"/>
      <c r="OXX23" s="7"/>
      <c r="OXY23" s="6"/>
      <c r="OXZ23" s="7"/>
      <c r="OYA23" s="8"/>
      <c r="OYB23" s="6"/>
      <c r="OYC23" s="8"/>
      <c r="OYD23" s="6"/>
      <c r="OYE23" s="8"/>
      <c r="OYF23" s="8"/>
      <c r="OYG23" s="6"/>
      <c r="OYH23" s="6"/>
      <c r="OYI23" s="8"/>
      <c r="OYJ23" s="8"/>
      <c r="OYK23" s="8"/>
      <c r="OYL23" s="28"/>
      <c r="OYM23" s="7"/>
      <c r="OYN23" s="8"/>
      <c r="OYO23" s="7"/>
      <c r="OYP23" s="7"/>
      <c r="OYQ23" s="6"/>
      <c r="OYR23" s="7"/>
      <c r="OYS23" s="8"/>
      <c r="OYT23" s="6"/>
      <c r="OYU23" s="8"/>
      <c r="OYV23" s="6"/>
      <c r="OYW23" s="8"/>
      <c r="OYX23" s="8"/>
      <c r="OYY23" s="6"/>
      <c r="OYZ23" s="6"/>
      <c r="OZA23" s="8"/>
      <c r="OZB23" s="8"/>
      <c r="OZC23" s="8"/>
      <c r="OZD23" s="28"/>
      <c r="OZE23" s="7"/>
      <c r="OZF23" s="8"/>
      <c r="OZG23" s="7"/>
      <c r="OZH23" s="7"/>
      <c r="OZI23" s="6"/>
      <c r="OZJ23" s="7"/>
      <c r="OZK23" s="8"/>
      <c r="OZL23" s="6"/>
      <c r="OZM23" s="8"/>
      <c r="OZN23" s="6"/>
      <c r="OZO23" s="8"/>
      <c r="OZP23" s="8"/>
      <c r="OZQ23" s="6"/>
      <c r="OZR23" s="6"/>
      <c r="OZS23" s="8"/>
      <c r="OZT23" s="8"/>
      <c r="OZU23" s="8"/>
      <c r="OZV23" s="28"/>
      <c r="OZW23" s="7"/>
      <c r="OZX23" s="8"/>
      <c r="OZY23" s="7"/>
      <c r="OZZ23" s="7"/>
      <c r="PAA23" s="6"/>
      <c r="PAB23" s="7"/>
      <c r="PAC23" s="8"/>
      <c r="PAD23" s="6"/>
      <c r="PAE23" s="8"/>
      <c r="PAF23" s="6"/>
      <c r="PAG23" s="8"/>
      <c r="PAH23" s="8"/>
      <c r="PAI23" s="6"/>
      <c r="PAJ23" s="6"/>
      <c r="PAK23" s="8"/>
      <c r="PAL23" s="8"/>
      <c r="PAM23" s="8"/>
      <c r="PAN23" s="28"/>
      <c r="PAO23" s="7"/>
      <c r="PAP23" s="8"/>
      <c r="PAQ23" s="7"/>
      <c r="PAR23" s="7"/>
      <c r="PAS23" s="6"/>
      <c r="PAT23" s="7"/>
      <c r="PAU23" s="8"/>
      <c r="PAV23" s="6"/>
      <c r="PAW23" s="8"/>
      <c r="PAX23" s="6"/>
      <c r="PAY23" s="8"/>
      <c r="PAZ23" s="8"/>
      <c r="PBA23" s="6"/>
      <c r="PBB23" s="6"/>
      <c r="PBC23" s="8"/>
      <c r="PBD23" s="8"/>
      <c r="PBE23" s="8"/>
      <c r="PBF23" s="28"/>
      <c r="PBG23" s="7"/>
      <c r="PBH23" s="8"/>
      <c r="PBI23" s="7"/>
      <c r="PBJ23" s="7"/>
      <c r="PBK23" s="6"/>
      <c r="PBL23" s="7"/>
      <c r="PBM23" s="8"/>
      <c r="PBN23" s="6"/>
      <c r="PBO23" s="8"/>
      <c r="PBP23" s="6"/>
      <c r="PBQ23" s="8"/>
      <c r="PBR23" s="8"/>
      <c r="PBS23" s="6"/>
      <c r="PBT23" s="6"/>
      <c r="PBU23" s="8"/>
      <c r="PBV23" s="8"/>
      <c r="PBW23" s="8"/>
      <c r="PBX23" s="28"/>
      <c r="PBY23" s="7"/>
      <c r="PBZ23" s="8"/>
      <c r="PCA23" s="7"/>
      <c r="PCB23" s="7"/>
      <c r="PCC23" s="6"/>
      <c r="PCD23" s="7"/>
      <c r="PCE23" s="8"/>
      <c r="PCF23" s="6"/>
      <c r="PCG23" s="8"/>
      <c r="PCH23" s="6"/>
      <c r="PCI23" s="8"/>
      <c r="PCJ23" s="8"/>
      <c r="PCK23" s="6"/>
      <c r="PCL23" s="6"/>
      <c r="PCM23" s="8"/>
      <c r="PCN23" s="8"/>
      <c r="PCO23" s="8"/>
      <c r="PCP23" s="28"/>
      <c r="PCQ23" s="7"/>
      <c r="PCR23" s="8"/>
      <c r="PCS23" s="7"/>
      <c r="PCT23" s="7"/>
      <c r="PCU23" s="6"/>
      <c r="PCV23" s="7"/>
      <c r="PCW23" s="8"/>
      <c r="PCX23" s="6"/>
      <c r="PCY23" s="8"/>
      <c r="PCZ23" s="6"/>
      <c r="PDA23" s="8"/>
      <c r="PDB23" s="8"/>
      <c r="PDC23" s="6"/>
      <c r="PDD23" s="6"/>
      <c r="PDE23" s="8"/>
      <c r="PDF23" s="8"/>
      <c r="PDG23" s="8"/>
      <c r="PDH23" s="28"/>
      <c r="PDI23" s="7"/>
      <c r="PDJ23" s="8"/>
      <c r="PDK23" s="7"/>
      <c r="PDL23" s="7"/>
      <c r="PDM23" s="6"/>
      <c r="PDN23" s="7"/>
      <c r="PDO23" s="8"/>
      <c r="PDP23" s="6"/>
      <c r="PDQ23" s="8"/>
      <c r="PDR23" s="6"/>
      <c r="PDS23" s="8"/>
      <c r="PDT23" s="8"/>
      <c r="PDU23" s="6"/>
      <c r="PDV23" s="6"/>
      <c r="PDW23" s="8"/>
      <c r="PDX23" s="8"/>
      <c r="PDY23" s="8"/>
      <c r="PDZ23" s="28"/>
      <c r="PEA23" s="7"/>
      <c r="PEB23" s="8"/>
      <c r="PEC23" s="7"/>
      <c r="PED23" s="7"/>
      <c r="PEE23" s="6"/>
      <c r="PEF23" s="7"/>
      <c r="PEG23" s="8"/>
      <c r="PEH23" s="6"/>
      <c r="PEI23" s="8"/>
      <c r="PEJ23" s="6"/>
      <c r="PEK23" s="8"/>
      <c r="PEL23" s="8"/>
      <c r="PEM23" s="6"/>
      <c r="PEN23" s="6"/>
      <c r="PEO23" s="8"/>
      <c r="PEP23" s="8"/>
      <c r="PEQ23" s="8"/>
      <c r="PER23" s="28"/>
      <c r="PES23" s="7"/>
      <c r="PET23" s="8"/>
      <c r="PEU23" s="7"/>
      <c r="PEV23" s="7"/>
      <c r="PEW23" s="6"/>
      <c r="PEX23" s="7"/>
      <c r="PEY23" s="8"/>
      <c r="PEZ23" s="6"/>
      <c r="PFA23" s="8"/>
      <c r="PFB23" s="6"/>
      <c r="PFC23" s="8"/>
      <c r="PFD23" s="8"/>
      <c r="PFE23" s="6"/>
      <c r="PFF23" s="6"/>
      <c r="PFG23" s="8"/>
      <c r="PFH23" s="8"/>
      <c r="PFI23" s="8"/>
      <c r="PFJ23" s="28"/>
      <c r="PFK23" s="7"/>
      <c r="PFL23" s="8"/>
      <c r="PFM23" s="7"/>
      <c r="PFN23" s="7"/>
      <c r="PFO23" s="6"/>
      <c r="PFP23" s="7"/>
      <c r="PFQ23" s="8"/>
      <c r="PFR23" s="6"/>
      <c r="PFS23" s="8"/>
      <c r="PFT23" s="6"/>
      <c r="PFU23" s="8"/>
      <c r="PFV23" s="8"/>
      <c r="PFW23" s="6"/>
      <c r="PFX23" s="6"/>
      <c r="PFY23" s="8"/>
      <c r="PFZ23" s="8"/>
      <c r="PGA23" s="8"/>
      <c r="PGB23" s="28"/>
      <c r="PGC23" s="7"/>
      <c r="PGD23" s="8"/>
      <c r="PGE23" s="7"/>
      <c r="PGF23" s="7"/>
      <c r="PGG23" s="6"/>
      <c r="PGH23" s="7"/>
      <c r="PGI23" s="8"/>
      <c r="PGJ23" s="6"/>
      <c r="PGK23" s="8"/>
      <c r="PGL23" s="6"/>
      <c r="PGM23" s="8"/>
      <c r="PGN23" s="8"/>
      <c r="PGO23" s="6"/>
      <c r="PGP23" s="6"/>
      <c r="PGQ23" s="8"/>
      <c r="PGR23" s="8"/>
      <c r="PGS23" s="8"/>
      <c r="PGT23" s="28"/>
      <c r="PGU23" s="7"/>
      <c r="PGV23" s="8"/>
      <c r="PGW23" s="7"/>
      <c r="PGX23" s="7"/>
      <c r="PGY23" s="6"/>
      <c r="PGZ23" s="7"/>
      <c r="PHA23" s="8"/>
      <c r="PHB23" s="6"/>
      <c r="PHC23" s="8"/>
      <c r="PHD23" s="6"/>
      <c r="PHE23" s="8"/>
      <c r="PHF23" s="8"/>
      <c r="PHG23" s="6"/>
      <c r="PHH23" s="6"/>
      <c r="PHI23" s="8"/>
      <c r="PHJ23" s="8"/>
      <c r="PHK23" s="8"/>
      <c r="PHL23" s="28"/>
      <c r="PHM23" s="7"/>
      <c r="PHN23" s="8"/>
      <c r="PHO23" s="7"/>
      <c r="PHP23" s="7"/>
      <c r="PHQ23" s="6"/>
      <c r="PHR23" s="7"/>
      <c r="PHS23" s="8"/>
      <c r="PHT23" s="6"/>
      <c r="PHU23" s="8"/>
      <c r="PHV23" s="6"/>
      <c r="PHW23" s="8"/>
      <c r="PHX23" s="8"/>
      <c r="PHY23" s="6"/>
      <c r="PHZ23" s="6"/>
      <c r="PIA23" s="8"/>
      <c r="PIB23" s="8"/>
      <c r="PIC23" s="8"/>
      <c r="PID23" s="28"/>
      <c r="PIE23" s="7"/>
      <c r="PIF23" s="8"/>
      <c r="PIG23" s="7"/>
      <c r="PIH23" s="7"/>
      <c r="PII23" s="6"/>
      <c r="PIJ23" s="7"/>
      <c r="PIK23" s="8"/>
      <c r="PIL23" s="6"/>
      <c r="PIM23" s="8"/>
      <c r="PIN23" s="6"/>
      <c r="PIO23" s="8"/>
      <c r="PIP23" s="8"/>
      <c r="PIQ23" s="6"/>
      <c r="PIR23" s="6"/>
      <c r="PIS23" s="8"/>
      <c r="PIT23" s="8"/>
      <c r="PIU23" s="8"/>
      <c r="PIV23" s="28"/>
      <c r="PIW23" s="7"/>
      <c r="PIX23" s="8"/>
      <c r="PIY23" s="7"/>
      <c r="PIZ23" s="7"/>
      <c r="PJA23" s="6"/>
      <c r="PJB23" s="7"/>
      <c r="PJC23" s="8"/>
      <c r="PJD23" s="6"/>
      <c r="PJE23" s="8"/>
      <c r="PJF23" s="6"/>
      <c r="PJG23" s="8"/>
      <c r="PJH23" s="8"/>
      <c r="PJI23" s="6"/>
      <c r="PJJ23" s="6"/>
      <c r="PJK23" s="8"/>
      <c r="PJL23" s="8"/>
      <c r="PJM23" s="8"/>
      <c r="PJN23" s="28"/>
      <c r="PJO23" s="7"/>
      <c r="PJP23" s="8"/>
      <c r="PJQ23" s="7"/>
      <c r="PJR23" s="7"/>
      <c r="PJS23" s="6"/>
      <c r="PJT23" s="7"/>
      <c r="PJU23" s="8"/>
      <c r="PJV23" s="6"/>
      <c r="PJW23" s="8"/>
      <c r="PJX23" s="6"/>
      <c r="PJY23" s="8"/>
      <c r="PJZ23" s="8"/>
      <c r="PKA23" s="6"/>
      <c r="PKB23" s="6"/>
      <c r="PKC23" s="8"/>
      <c r="PKD23" s="8"/>
      <c r="PKE23" s="8"/>
      <c r="PKF23" s="28"/>
      <c r="PKG23" s="7"/>
      <c r="PKH23" s="8"/>
      <c r="PKI23" s="7"/>
      <c r="PKJ23" s="7"/>
      <c r="PKK23" s="6"/>
      <c r="PKL23" s="7"/>
      <c r="PKM23" s="8"/>
      <c r="PKN23" s="6"/>
      <c r="PKO23" s="8"/>
      <c r="PKP23" s="6"/>
      <c r="PKQ23" s="8"/>
      <c r="PKR23" s="8"/>
      <c r="PKS23" s="6"/>
      <c r="PKT23" s="6"/>
      <c r="PKU23" s="8"/>
      <c r="PKV23" s="8"/>
      <c r="PKW23" s="8"/>
      <c r="PKX23" s="28"/>
      <c r="PKY23" s="7"/>
      <c r="PKZ23" s="8"/>
      <c r="PLA23" s="7"/>
      <c r="PLB23" s="7"/>
      <c r="PLC23" s="6"/>
      <c r="PLD23" s="7"/>
      <c r="PLE23" s="8"/>
      <c r="PLF23" s="6"/>
      <c r="PLG23" s="8"/>
      <c r="PLH23" s="6"/>
      <c r="PLI23" s="8"/>
      <c r="PLJ23" s="8"/>
      <c r="PLK23" s="6"/>
      <c r="PLL23" s="6"/>
      <c r="PLM23" s="8"/>
      <c r="PLN23" s="8"/>
      <c r="PLO23" s="8"/>
      <c r="PLP23" s="28"/>
      <c r="PLQ23" s="7"/>
      <c r="PLR23" s="8"/>
      <c r="PLS23" s="7"/>
      <c r="PLT23" s="7"/>
      <c r="PLU23" s="6"/>
      <c r="PLV23" s="7"/>
      <c r="PLW23" s="8"/>
      <c r="PLX23" s="6"/>
      <c r="PLY23" s="8"/>
      <c r="PLZ23" s="6"/>
      <c r="PMA23" s="8"/>
      <c r="PMB23" s="8"/>
      <c r="PMC23" s="6"/>
      <c r="PMD23" s="6"/>
      <c r="PME23" s="8"/>
      <c r="PMF23" s="8"/>
      <c r="PMG23" s="8"/>
      <c r="PMH23" s="28"/>
      <c r="PMI23" s="7"/>
      <c r="PMJ23" s="8"/>
      <c r="PMK23" s="7"/>
      <c r="PML23" s="7"/>
      <c r="PMM23" s="6"/>
      <c r="PMN23" s="7"/>
      <c r="PMO23" s="8"/>
      <c r="PMP23" s="6"/>
      <c r="PMQ23" s="8"/>
      <c r="PMR23" s="6"/>
      <c r="PMS23" s="8"/>
      <c r="PMT23" s="8"/>
      <c r="PMU23" s="6"/>
      <c r="PMV23" s="6"/>
      <c r="PMW23" s="8"/>
      <c r="PMX23" s="8"/>
      <c r="PMY23" s="8"/>
      <c r="PMZ23" s="28"/>
      <c r="PNA23" s="7"/>
      <c r="PNB23" s="8"/>
      <c r="PNC23" s="7"/>
      <c r="PND23" s="7"/>
      <c r="PNE23" s="6"/>
      <c r="PNF23" s="7"/>
      <c r="PNG23" s="8"/>
      <c r="PNH23" s="6"/>
      <c r="PNI23" s="8"/>
      <c r="PNJ23" s="6"/>
      <c r="PNK23" s="8"/>
      <c r="PNL23" s="8"/>
      <c r="PNM23" s="6"/>
      <c r="PNN23" s="6"/>
      <c r="PNO23" s="8"/>
      <c r="PNP23" s="8"/>
      <c r="PNQ23" s="8"/>
      <c r="PNR23" s="28"/>
      <c r="PNS23" s="7"/>
      <c r="PNT23" s="8"/>
      <c r="PNU23" s="7"/>
      <c r="PNV23" s="7"/>
      <c r="PNW23" s="6"/>
      <c r="PNX23" s="7"/>
      <c r="PNY23" s="8"/>
      <c r="PNZ23" s="6"/>
      <c r="POA23" s="8"/>
      <c r="POB23" s="6"/>
      <c r="POC23" s="8"/>
      <c r="POD23" s="8"/>
      <c r="POE23" s="6"/>
      <c r="POF23" s="6"/>
      <c r="POG23" s="8"/>
      <c r="POH23" s="8"/>
      <c r="POI23" s="8"/>
      <c r="POJ23" s="28"/>
      <c r="POK23" s="7"/>
      <c r="POL23" s="8"/>
      <c r="POM23" s="7"/>
      <c r="PON23" s="7"/>
      <c r="POO23" s="6"/>
      <c r="POP23" s="7"/>
      <c r="POQ23" s="8"/>
      <c r="POR23" s="6"/>
      <c r="POS23" s="8"/>
      <c r="POT23" s="6"/>
      <c r="POU23" s="8"/>
      <c r="POV23" s="8"/>
      <c r="POW23" s="6"/>
      <c r="POX23" s="6"/>
      <c r="POY23" s="8"/>
      <c r="POZ23" s="8"/>
      <c r="PPA23" s="8"/>
      <c r="PPB23" s="28"/>
      <c r="PPC23" s="7"/>
      <c r="PPD23" s="8"/>
      <c r="PPE23" s="7"/>
      <c r="PPF23" s="7"/>
      <c r="PPG23" s="6"/>
      <c r="PPH23" s="7"/>
      <c r="PPI23" s="8"/>
      <c r="PPJ23" s="6"/>
      <c r="PPK23" s="8"/>
      <c r="PPL23" s="6"/>
      <c r="PPM23" s="8"/>
      <c r="PPN23" s="8"/>
      <c r="PPO23" s="6"/>
      <c r="PPP23" s="6"/>
      <c r="PPQ23" s="8"/>
      <c r="PPR23" s="8"/>
      <c r="PPS23" s="8"/>
      <c r="PPT23" s="28"/>
      <c r="PPU23" s="7"/>
      <c r="PPV23" s="8"/>
      <c r="PPW23" s="7"/>
      <c r="PPX23" s="7"/>
      <c r="PPY23" s="6"/>
      <c r="PPZ23" s="7"/>
      <c r="PQA23" s="8"/>
      <c r="PQB23" s="6"/>
      <c r="PQC23" s="8"/>
      <c r="PQD23" s="6"/>
      <c r="PQE23" s="8"/>
      <c r="PQF23" s="8"/>
      <c r="PQG23" s="6"/>
      <c r="PQH23" s="6"/>
      <c r="PQI23" s="8"/>
      <c r="PQJ23" s="8"/>
      <c r="PQK23" s="8"/>
      <c r="PQL23" s="28"/>
      <c r="PQM23" s="7"/>
      <c r="PQN23" s="8"/>
      <c r="PQO23" s="7"/>
      <c r="PQP23" s="7"/>
      <c r="PQQ23" s="6"/>
      <c r="PQR23" s="7"/>
      <c r="PQS23" s="8"/>
      <c r="PQT23" s="6"/>
      <c r="PQU23" s="8"/>
      <c r="PQV23" s="6"/>
      <c r="PQW23" s="8"/>
      <c r="PQX23" s="8"/>
      <c r="PQY23" s="6"/>
      <c r="PQZ23" s="6"/>
      <c r="PRA23" s="8"/>
      <c r="PRB23" s="8"/>
      <c r="PRC23" s="8"/>
      <c r="PRD23" s="28"/>
      <c r="PRE23" s="7"/>
      <c r="PRF23" s="8"/>
      <c r="PRG23" s="7"/>
      <c r="PRH23" s="7"/>
      <c r="PRI23" s="6"/>
      <c r="PRJ23" s="7"/>
      <c r="PRK23" s="8"/>
      <c r="PRL23" s="6"/>
      <c r="PRM23" s="8"/>
      <c r="PRN23" s="6"/>
      <c r="PRO23" s="8"/>
      <c r="PRP23" s="8"/>
      <c r="PRQ23" s="6"/>
      <c r="PRR23" s="6"/>
      <c r="PRS23" s="8"/>
      <c r="PRT23" s="8"/>
      <c r="PRU23" s="8"/>
      <c r="PRV23" s="28"/>
      <c r="PRW23" s="7"/>
      <c r="PRX23" s="8"/>
      <c r="PRY23" s="7"/>
      <c r="PRZ23" s="7"/>
      <c r="PSA23" s="6"/>
      <c r="PSB23" s="7"/>
      <c r="PSC23" s="8"/>
      <c r="PSD23" s="6"/>
      <c r="PSE23" s="8"/>
      <c r="PSF23" s="6"/>
      <c r="PSG23" s="8"/>
      <c r="PSH23" s="8"/>
      <c r="PSI23" s="6"/>
      <c r="PSJ23" s="6"/>
      <c r="PSK23" s="8"/>
      <c r="PSL23" s="8"/>
      <c r="PSM23" s="8"/>
      <c r="PSN23" s="28"/>
      <c r="PSO23" s="7"/>
      <c r="PSP23" s="8"/>
      <c r="PSQ23" s="7"/>
      <c r="PSR23" s="7"/>
      <c r="PSS23" s="6"/>
      <c r="PST23" s="7"/>
      <c r="PSU23" s="8"/>
      <c r="PSV23" s="6"/>
      <c r="PSW23" s="8"/>
      <c r="PSX23" s="6"/>
      <c r="PSY23" s="8"/>
      <c r="PSZ23" s="8"/>
      <c r="PTA23" s="6"/>
      <c r="PTB23" s="6"/>
      <c r="PTC23" s="8"/>
      <c r="PTD23" s="8"/>
      <c r="PTE23" s="8"/>
      <c r="PTF23" s="28"/>
      <c r="PTG23" s="7"/>
      <c r="PTH23" s="8"/>
      <c r="PTI23" s="7"/>
      <c r="PTJ23" s="7"/>
      <c r="PTK23" s="6"/>
      <c r="PTL23" s="7"/>
      <c r="PTM23" s="8"/>
      <c r="PTN23" s="6"/>
      <c r="PTO23" s="8"/>
      <c r="PTP23" s="6"/>
      <c r="PTQ23" s="8"/>
      <c r="PTR23" s="8"/>
      <c r="PTS23" s="6"/>
      <c r="PTT23" s="6"/>
      <c r="PTU23" s="8"/>
      <c r="PTV23" s="8"/>
      <c r="PTW23" s="8"/>
      <c r="PTX23" s="28"/>
      <c r="PTY23" s="7"/>
      <c r="PTZ23" s="8"/>
      <c r="PUA23" s="7"/>
      <c r="PUB23" s="7"/>
      <c r="PUC23" s="6"/>
      <c r="PUD23" s="7"/>
      <c r="PUE23" s="8"/>
      <c r="PUF23" s="6"/>
      <c r="PUG23" s="8"/>
      <c r="PUH23" s="6"/>
      <c r="PUI23" s="8"/>
      <c r="PUJ23" s="8"/>
      <c r="PUK23" s="6"/>
      <c r="PUL23" s="6"/>
      <c r="PUM23" s="8"/>
      <c r="PUN23" s="8"/>
      <c r="PUO23" s="8"/>
      <c r="PUP23" s="28"/>
      <c r="PUQ23" s="7"/>
      <c r="PUR23" s="8"/>
      <c r="PUS23" s="7"/>
      <c r="PUT23" s="7"/>
      <c r="PUU23" s="6"/>
      <c r="PUV23" s="7"/>
      <c r="PUW23" s="8"/>
      <c r="PUX23" s="6"/>
      <c r="PUY23" s="8"/>
      <c r="PUZ23" s="6"/>
      <c r="PVA23" s="8"/>
      <c r="PVB23" s="8"/>
      <c r="PVC23" s="6"/>
      <c r="PVD23" s="6"/>
      <c r="PVE23" s="8"/>
      <c r="PVF23" s="8"/>
      <c r="PVG23" s="8"/>
      <c r="PVH23" s="28"/>
      <c r="PVI23" s="7"/>
      <c r="PVJ23" s="8"/>
      <c r="PVK23" s="7"/>
      <c r="PVL23" s="7"/>
      <c r="PVM23" s="6"/>
      <c r="PVN23" s="7"/>
      <c r="PVO23" s="8"/>
      <c r="PVP23" s="6"/>
      <c r="PVQ23" s="8"/>
      <c r="PVR23" s="6"/>
      <c r="PVS23" s="8"/>
      <c r="PVT23" s="8"/>
      <c r="PVU23" s="6"/>
      <c r="PVV23" s="6"/>
      <c r="PVW23" s="8"/>
      <c r="PVX23" s="8"/>
      <c r="PVY23" s="8"/>
      <c r="PVZ23" s="28"/>
      <c r="PWA23" s="7"/>
      <c r="PWB23" s="8"/>
      <c r="PWC23" s="7"/>
      <c r="PWD23" s="7"/>
      <c r="PWE23" s="6"/>
      <c r="PWF23" s="7"/>
      <c r="PWG23" s="8"/>
      <c r="PWH23" s="6"/>
      <c r="PWI23" s="8"/>
      <c r="PWJ23" s="6"/>
      <c r="PWK23" s="8"/>
      <c r="PWL23" s="8"/>
      <c r="PWM23" s="6"/>
      <c r="PWN23" s="6"/>
      <c r="PWO23" s="8"/>
      <c r="PWP23" s="8"/>
      <c r="PWQ23" s="8"/>
      <c r="PWR23" s="28"/>
      <c r="PWS23" s="7"/>
      <c r="PWT23" s="8"/>
      <c r="PWU23" s="7"/>
      <c r="PWV23" s="7"/>
      <c r="PWW23" s="6"/>
      <c r="PWX23" s="7"/>
      <c r="PWY23" s="8"/>
      <c r="PWZ23" s="6"/>
      <c r="PXA23" s="8"/>
      <c r="PXB23" s="6"/>
      <c r="PXC23" s="8"/>
      <c r="PXD23" s="8"/>
      <c r="PXE23" s="6"/>
      <c r="PXF23" s="6"/>
      <c r="PXG23" s="8"/>
      <c r="PXH23" s="8"/>
      <c r="PXI23" s="8"/>
      <c r="PXJ23" s="28"/>
      <c r="PXK23" s="7"/>
      <c r="PXL23" s="8"/>
      <c r="PXM23" s="7"/>
      <c r="PXN23" s="7"/>
      <c r="PXO23" s="6"/>
      <c r="PXP23" s="7"/>
      <c r="PXQ23" s="8"/>
      <c r="PXR23" s="6"/>
      <c r="PXS23" s="8"/>
      <c r="PXT23" s="6"/>
      <c r="PXU23" s="8"/>
      <c r="PXV23" s="8"/>
      <c r="PXW23" s="6"/>
      <c r="PXX23" s="6"/>
      <c r="PXY23" s="8"/>
      <c r="PXZ23" s="8"/>
      <c r="PYA23" s="8"/>
      <c r="PYB23" s="28"/>
      <c r="PYC23" s="7"/>
      <c r="PYD23" s="8"/>
      <c r="PYE23" s="7"/>
      <c r="PYF23" s="7"/>
      <c r="PYG23" s="6"/>
      <c r="PYH23" s="7"/>
      <c r="PYI23" s="8"/>
      <c r="PYJ23" s="6"/>
      <c r="PYK23" s="8"/>
      <c r="PYL23" s="6"/>
      <c r="PYM23" s="8"/>
      <c r="PYN23" s="8"/>
      <c r="PYO23" s="6"/>
      <c r="PYP23" s="6"/>
      <c r="PYQ23" s="8"/>
      <c r="PYR23" s="8"/>
      <c r="PYS23" s="8"/>
      <c r="PYT23" s="28"/>
      <c r="PYU23" s="7"/>
      <c r="PYV23" s="8"/>
      <c r="PYW23" s="7"/>
      <c r="PYX23" s="7"/>
      <c r="PYY23" s="6"/>
      <c r="PYZ23" s="7"/>
      <c r="PZA23" s="8"/>
      <c r="PZB23" s="6"/>
      <c r="PZC23" s="8"/>
      <c r="PZD23" s="6"/>
      <c r="PZE23" s="8"/>
      <c r="PZF23" s="8"/>
      <c r="PZG23" s="6"/>
      <c r="PZH23" s="6"/>
      <c r="PZI23" s="8"/>
      <c r="PZJ23" s="8"/>
      <c r="PZK23" s="8"/>
      <c r="PZL23" s="28"/>
      <c r="PZM23" s="7"/>
      <c r="PZN23" s="8"/>
      <c r="PZO23" s="7"/>
      <c r="PZP23" s="7"/>
      <c r="PZQ23" s="6"/>
      <c r="PZR23" s="7"/>
      <c r="PZS23" s="8"/>
      <c r="PZT23" s="6"/>
      <c r="PZU23" s="8"/>
      <c r="PZV23" s="6"/>
      <c r="PZW23" s="8"/>
      <c r="PZX23" s="8"/>
      <c r="PZY23" s="6"/>
      <c r="PZZ23" s="6"/>
      <c r="QAA23" s="8"/>
      <c r="QAB23" s="8"/>
      <c r="QAC23" s="8"/>
      <c r="QAD23" s="28"/>
      <c r="QAE23" s="7"/>
      <c r="QAF23" s="8"/>
      <c r="QAG23" s="7"/>
      <c r="QAH23" s="7"/>
      <c r="QAI23" s="6"/>
      <c r="QAJ23" s="7"/>
      <c r="QAK23" s="8"/>
      <c r="QAL23" s="6"/>
      <c r="QAM23" s="8"/>
      <c r="QAN23" s="6"/>
      <c r="QAO23" s="8"/>
      <c r="QAP23" s="8"/>
      <c r="QAQ23" s="6"/>
      <c r="QAR23" s="6"/>
      <c r="QAS23" s="8"/>
      <c r="QAT23" s="8"/>
      <c r="QAU23" s="8"/>
      <c r="QAV23" s="28"/>
      <c r="QAW23" s="7"/>
      <c r="QAX23" s="8"/>
      <c r="QAY23" s="7"/>
      <c r="QAZ23" s="7"/>
      <c r="QBA23" s="6"/>
      <c r="QBB23" s="7"/>
      <c r="QBC23" s="8"/>
      <c r="QBD23" s="6"/>
      <c r="QBE23" s="8"/>
      <c r="QBF23" s="6"/>
      <c r="QBG23" s="8"/>
      <c r="QBH23" s="8"/>
      <c r="QBI23" s="6"/>
      <c r="QBJ23" s="6"/>
      <c r="QBK23" s="8"/>
      <c r="QBL23" s="8"/>
      <c r="QBM23" s="8"/>
      <c r="QBN23" s="28"/>
      <c r="QBO23" s="7"/>
      <c r="QBP23" s="8"/>
      <c r="QBQ23" s="7"/>
      <c r="QBR23" s="7"/>
      <c r="QBS23" s="6"/>
      <c r="QBT23" s="7"/>
      <c r="QBU23" s="8"/>
      <c r="QBV23" s="6"/>
      <c r="QBW23" s="8"/>
      <c r="QBX23" s="6"/>
      <c r="QBY23" s="8"/>
      <c r="QBZ23" s="8"/>
      <c r="QCA23" s="6"/>
      <c r="QCB23" s="6"/>
      <c r="QCC23" s="8"/>
      <c r="QCD23" s="8"/>
      <c r="QCE23" s="8"/>
      <c r="QCF23" s="28"/>
      <c r="QCG23" s="7"/>
      <c r="QCH23" s="8"/>
      <c r="QCI23" s="7"/>
      <c r="QCJ23" s="7"/>
      <c r="QCK23" s="6"/>
      <c r="QCL23" s="7"/>
      <c r="QCM23" s="8"/>
      <c r="QCN23" s="6"/>
      <c r="QCO23" s="8"/>
      <c r="QCP23" s="6"/>
      <c r="QCQ23" s="8"/>
      <c r="QCR23" s="8"/>
      <c r="QCS23" s="6"/>
      <c r="QCT23" s="6"/>
      <c r="QCU23" s="8"/>
      <c r="QCV23" s="8"/>
      <c r="QCW23" s="8"/>
      <c r="QCX23" s="28"/>
      <c r="QCY23" s="7"/>
      <c r="QCZ23" s="8"/>
      <c r="QDA23" s="7"/>
      <c r="QDB23" s="7"/>
      <c r="QDC23" s="6"/>
      <c r="QDD23" s="7"/>
      <c r="QDE23" s="8"/>
      <c r="QDF23" s="6"/>
      <c r="QDG23" s="8"/>
      <c r="QDH23" s="6"/>
      <c r="QDI23" s="8"/>
      <c r="QDJ23" s="8"/>
      <c r="QDK23" s="6"/>
      <c r="QDL23" s="6"/>
      <c r="QDM23" s="8"/>
      <c r="QDN23" s="8"/>
      <c r="QDO23" s="8"/>
      <c r="QDP23" s="28"/>
      <c r="QDQ23" s="7"/>
      <c r="QDR23" s="8"/>
      <c r="QDS23" s="7"/>
      <c r="QDT23" s="7"/>
      <c r="QDU23" s="6"/>
      <c r="QDV23" s="7"/>
      <c r="QDW23" s="8"/>
      <c r="QDX23" s="6"/>
      <c r="QDY23" s="8"/>
      <c r="QDZ23" s="6"/>
      <c r="QEA23" s="8"/>
      <c r="QEB23" s="8"/>
      <c r="QEC23" s="6"/>
      <c r="QED23" s="6"/>
      <c r="QEE23" s="8"/>
      <c r="QEF23" s="8"/>
      <c r="QEG23" s="8"/>
      <c r="QEH23" s="28"/>
      <c r="QEI23" s="7"/>
      <c r="QEJ23" s="8"/>
      <c r="QEK23" s="7"/>
      <c r="QEL23" s="7"/>
      <c r="QEM23" s="6"/>
      <c r="QEN23" s="7"/>
      <c r="QEO23" s="8"/>
      <c r="QEP23" s="6"/>
      <c r="QEQ23" s="8"/>
      <c r="QER23" s="6"/>
      <c r="QES23" s="8"/>
      <c r="QET23" s="8"/>
      <c r="QEU23" s="6"/>
      <c r="QEV23" s="6"/>
      <c r="QEW23" s="8"/>
      <c r="QEX23" s="8"/>
      <c r="QEY23" s="8"/>
      <c r="QEZ23" s="28"/>
      <c r="QFA23" s="7"/>
      <c r="QFB23" s="8"/>
      <c r="QFC23" s="7"/>
      <c r="QFD23" s="7"/>
      <c r="QFE23" s="6"/>
      <c r="QFF23" s="7"/>
      <c r="QFG23" s="8"/>
      <c r="QFH23" s="6"/>
      <c r="QFI23" s="8"/>
      <c r="QFJ23" s="6"/>
      <c r="QFK23" s="8"/>
      <c r="QFL23" s="8"/>
      <c r="QFM23" s="6"/>
      <c r="QFN23" s="6"/>
      <c r="QFO23" s="8"/>
      <c r="QFP23" s="8"/>
      <c r="QFQ23" s="8"/>
      <c r="QFR23" s="28"/>
      <c r="QFS23" s="7"/>
      <c r="QFT23" s="8"/>
      <c r="QFU23" s="7"/>
      <c r="QFV23" s="7"/>
      <c r="QFW23" s="6"/>
      <c r="QFX23" s="7"/>
      <c r="QFY23" s="8"/>
      <c r="QFZ23" s="6"/>
      <c r="QGA23" s="8"/>
      <c r="QGB23" s="6"/>
      <c r="QGC23" s="8"/>
      <c r="QGD23" s="8"/>
      <c r="QGE23" s="6"/>
      <c r="QGF23" s="6"/>
      <c r="QGG23" s="8"/>
      <c r="QGH23" s="8"/>
      <c r="QGI23" s="8"/>
      <c r="QGJ23" s="28"/>
      <c r="QGK23" s="7"/>
      <c r="QGL23" s="8"/>
      <c r="QGM23" s="7"/>
      <c r="QGN23" s="7"/>
      <c r="QGO23" s="6"/>
      <c r="QGP23" s="7"/>
      <c r="QGQ23" s="8"/>
      <c r="QGR23" s="6"/>
      <c r="QGS23" s="8"/>
      <c r="QGT23" s="6"/>
      <c r="QGU23" s="8"/>
      <c r="QGV23" s="8"/>
      <c r="QGW23" s="6"/>
      <c r="QGX23" s="6"/>
      <c r="QGY23" s="8"/>
      <c r="QGZ23" s="8"/>
      <c r="QHA23" s="8"/>
      <c r="QHB23" s="28"/>
      <c r="QHC23" s="7"/>
      <c r="QHD23" s="8"/>
      <c r="QHE23" s="7"/>
      <c r="QHF23" s="7"/>
      <c r="QHG23" s="6"/>
      <c r="QHH23" s="7"/>
      <c r="QHI23" s="8"/>
      <c r="QHJ23" s="6"/>
      <c r="QHK23" s="8"/>
      <c r="QHL23" s="6"/>
      <c r="QHM23" s="8"/>
      <c r="QHN23" s="8"/>
      <c r="QHO23" s="6"/>
      <c r="QHP23" s="6"/>
      <c r="QHQ23" s="8"/>
      <c r="QHR23" s="8"/>
      <c r="QHS23" s="8"/>
      <c r="QHT23" s="28"/>
      <c r="QHU23" s="7"/>
      <c r="QHV23" s="8"/>
      <c r="QHW23" s="7"/>
      <c r="QHX23" s="7"/>
      <c r="QHY23" s="6"/>
      <c r="QHZ23" s="7"/>
      <c r="QIA23" s="8"/>
      <c r="QIB23" s="6"/>
      <c r="QIC23" s="8"/>
      <c r="QID23" s="6"/>
      <c r="QIE23" s="8"/>
      <c r="QIF23" s="8"/>
      <c r="QIG23" s="6"/>
      <c r="QIH23" s="6"/>
      <c r="QII23" s="8"/>
      <c r="QIJ23" s="8"/>
      <c r="QIK23" s="8"/>
      <c r="QIL23" s="28"/>
      <c r="QIM23" s="7"/>
      <c r="QIN23" s="8"/>
      <c r="QIO23" s="7"/>
      <c r="QIP23" s="7"/>
      <c r="QIQ23" s="6"/>
      <c r="QIR23" s="7"/>
      <c r="QIS23" s="8"/>
      <c r="QIT23" s="6"/>
      <c r="QIU23" s="8"/>
      <c r="QIV23" s="6"/>
      <c r="QIW23" s="8"/>
      <c r="QIX23" s="8"/>
      <c r="QIY23" s="6"/>
      <c r="QIZ23" s="6"/>
      <c r="QJA23" s="8"/>
      <c r="QJB23" s="8"/>
      <c r="QJC23" s="8"/>
      <c r="QJD23" s="28"/>
      <c r="QJE23" s="7"/>
      <c r="QJF23" s="8"/>
      <c r="QJG23" s="7"/>
      <c r="QJH23" s="7"/>
      <c r="QJI23" s="6"/>
      <c r="QJJ23" s="7"/>
      <c r="QJK23" s="8"/>
      <c r="QJL23" s="6"/>
      <c r="QJM23" s="8"/>
      <c r="QJN23" s="6"/>
      <c r="QJO23" s="8"/>
      <c r="QJP23" s="8"/>
      <c r="QJQ23" s="6"/>
      <c r="QJR23" s="6"/>
      <c r="QJS23" s="8"/>
      <c r="QJT23" s="8"/>
      <c r="QJU23" s="8"/>
      <c r="QJV23" s="28"/>
      <c r="QJW23" s="7"/>
      <c r="QJX23" s="8"/>
      <c r="QJY23" s="7"/>
      <c r="QJZ23" s="7"/>
      <c r="QKA23" s="6"/>
      <c r="QKB23" s="7"/>
      <c r="QKC23" s="8"/>
      <c r="QKD23" s="6"/>
      <c r="QKE23" s="8"/>
      <c r="QKF23" s="6"/>
      <c r="QKG23" s="8"/>
      <c r="QKH23" s="8"/>
      <c r="QKI23" s="6"/>
      <c r="QKJ23" s="6"/>
      <c r="QKK23" s="8"/>
      <c r="QKL23" s="8"/>
      <c r="QKM23" s="8"/>
      <c r="QKN23" s="28"/>
      <c r="QKO23" s="7"/>
      <c r="QKP23" s="8"/>
      <c r="QKQ23" s="7"/>
      <c r="QKR23" s="7"/>
      <c r="QKS23" s="6"/>
      <c r="QKT23" s="7"/>
      <c r="QKU23" s="8"/>
      <c r="QKV23" s="6"/>
      <c r="QKW23" s="8"/>
      <c r="QKX23" s="6"/>
      <c r="QKY23" s="8"/>
      <c r="QKZ23" s="8"/>
      <c r="QLA23" s="6"/>
      <c r="QLB23" s="6"/>
      <c r="QLC23" s="8"/>
      <c r="QLD23" s="8"/>
      <c r="QLE23" s="8"/>
      <c r="QLF23" s="28"/>
      <c r="QLG23" s="7"/>
      <c r="QLH23" s="8"/>
      <c r="QLI23" s="7"/>
      <c r="QLJ23" s="7"/>
      <c r="QLK23" s="6"/>
      <c r="QLL23" s="7"/>
      <c r="QLM23" s="8"/>
      <c r="QLN23" s="6"/>
      <c r="QLO23" s="8"/>
      <c r="QLP23" s="6"/>
      <c r="QLQ23" s="8"/>
      <c r="QLR23" s="8"/>
      <c r="QLS23" s="6"/>
      <c r="QLT23" s="6"/>
      <c r="QLU23" s="8"/>
      <c r="QLV23" s="8"/>
      <c r="QLW23" s="8"/>
      <c r="QLX23" s="28"/>
      <c r="QLY23" s="7"/>
      <c r="QLZ23" s="8"/>
      <c r="QMA23" s="7"/>
      <c r="QMB23" s="7"/>
      <c r="QMC23" s="6"/>
      <c r="QMD23" s="7"/>
      <c r="QME23" s="8"/>
      <c r="QMF23" s="6"/>
      <c r="QMG23" s="8"/>
      <c r="QMH23" s="6"/>
      <c r="QMI23" s="8"/>
      <c r="QMJ23" s="8"/>
      <c r="QMK23" s="6"/>
      <c r="QML23" s="6"/>
      <c r="QMM23" s="8"/>
      <c r="QMN23" s="8"/>
      <c r="QMO23" s="8"/>
      <c r="QMP23" s="28"/>
      <c r="QMQ23" s="7"/>
      <c r="QMR23" s="8"/>
      <c r="QMS23" s="7"/>
      <c r="QMT23" s="7"/>
      <c r="QMU23" s="6"/>
      <c r="QMV23" s="7"/>
      <c r="QMW23" s="8"/>
      <c r="QMX23" s="6"/>
      <c r="QMY23" s="8"/>
      <c r="QMZ23" s="6"/>
      <c r="QNA23" s="8"/>
      <c r="QNB23" s="8"/>
      <c r="QNC23" s="6"/>
      <c r="QND23" s="6"/>
      <c r="QNE23" s="8"/>
      <c r="QNF23" s="8"/>
      <c r="QNG23" s="8"/>
      <c r="QNH23" s="28"/>
      <c r="QNI23" s="7"/>
      <c r="QNJ23" s="8"/>
      <c r="QNK23" s="7"/>
      <c r="QNL23" s="7"/>
      <c r="QNM23" s="6"/>
      <c r="QNN23" s="7"/>
      <c r="QNO23" s="8"/>
      <c r="QNP23" s="6"/>
      <c r="QNQ23" s="8"/>
      <c r="QNR23" s="6"/>
      <c r="QNS23" s="8"/>
      <c r="QNT23" s="8"/>
      <c r="QNU23" s="6"/>
      <c r="QNV23" s="6"/>
      <c r="QNW23" s="8"/>
      <c r="QNX23" s="8"/>
      <c r="QNY23" s="8"/>
      <c r="QNZ23" s="28"/>
      <c r="QOA23" s="7"/>
      <c r="QOB23" s="8"/>
      <c r="QOC23" s="7"/>
      <c r="QOD23" s="7"/>
      <c r="QOE23" s="6"/>
      <c r="QOF23" s="7"/>
      <c r="QOG23" s="8"/>
      <c r="QOH23" s="6"/>
      <c r="QOI23" s="8"/>
      <c r="QOJ23" s="6"/>
      <c r="QOK23" s="8"/>
      <c r="QOL23" s="8"/>
      <c r="QOM23" s="6"/>
      <c r="QON23" s="6"/>
      <c r="QOO23" s="8"/>
      <c r="QOP23" s="8"/>
      <c r="QOQ23" s="8"/>
      <c r="QOR23" s="28"/>
      <c r="QOS23" s="7"/>
      <c r="QOT23" s="8"/>
      <c r="QOU23" s="7"/>
      <c r="QOV23" s="7"/>
      <c r="QOW23" s="6"/>
      <c r="QOX23" s="7"/>
      <c r="QOY23" s="8"/>
      <c r="QOZ23" s="6"/>
      <c r="QPA23" s="8"/>
      <c r="QPB23" s="6"/>
      <c r="QPC23" s="8"/>
      <c r="QPD23" s="8"/>
      <c r="QPE23" s="6"/>
      <c r="QPF23" s="6"/>
      <c r="QPG23" s="8"/>
      <c r="QPH23" s="8"/>
      <c r="QPI23" s="8"/>
      <c r="QPJ23" s="28"/>
      <c r="QPK23" s="7"/>
      <c r="QPL23" s="8"/>
      <c r="QPM23" s="7"/>
      <c r="QPN23" s="7"/>
      <c r="QPO23" s="6"/>
      <c r="QPP23" s="7"/>
      <c r="QPQ23" s="8"/>
      <c r="QPR23" s="6"/>
      <c r="QPS23" s="8"/>
      <c r="QPT23" s="6"/>
      <c r="QPU23" s="8"/>
      <c r="QPV23" s="8"/>
      <c r="QPW23" s="6"/>
      <c r="QPX23" s="6"/>
      <c r="QPY23" s="8"/>
      <c r="QPZ23" s="8"/>
      <c r="QQA23" s="8"/>
      <c r="QQB23" s="28"/>
      <c r="QQC23" s="7"/>
      <c r="QQD23" s="8"/>
      <c r="QQE23" s="7"/>
      <c r="QQF23" s="7"/>
      <c r="QQG23" s="6"/>
      <c r="QQH23" s="7"/>
      <c r="QQI23" s="8"/>
      <c r="QQJ23" s="6"/>
      <c r="QQK23" s="8"/>
      <c r="QQL23" s="6"/>
      <c r="QQM23" s="8"/>
      <c r="QQN23" s="8"/>
      <c r="QQO23" s="6"/>
      <c r="QQP23" s="6"/>
      <c r="QQQ23" s="8"/>
      <c r="QQR23" s="8"/>
      <c r="QQS23" s="8"/>
      <c r="QQT23" s="28"/>
      <c r="QQU23" s="7"/>
      <c r="QQV23" s="8"/>
      <c r="QQW23" s="7"/>
      <c r="QQX23" s="7"/>
      <c r="QQY23" s="6"/>
      <c r="QQZ23" s="7"/>
      <c r="QRA23" s="8"/>
      <c r="QRB23" s="6"/>
      <c r="QRC23" s="8"/>
      <c r="QRD23" s="6"/>
      <c r="QRE23" s="8"/>
      <c r="QRF23" s="8"/>
      <c r="QRG23" s="6"/>
      <c r="QRH23" s="6"/>
      <c r="QRI23" s="8"/>
      <c r="QRJ23" s="8"/>
      <c r="QRK23" s="8"/>
      <c r="QRL23" s="28"/>
      <c r="QRM23" s="7"/>
      <c r="QRN23" s="8"/>
      <c r="QRO23" s="7"/>
      <c r="QRP23" s="7"/>
      <c r="QRQ23" s="6"/>
      <c r="QRR23" s="7"/>
      <c r="QRS23" s="8"/>
      <c r="QRT23" s="6"/>
      <c r="QRU23" s="8"/>
      <c r="QRV23" s="6"/>
      <c r="QRW23" s="8"/>
      <c r="QRX23" s="8"/>
      <c r="QRY23" s="6"/>
      <c r="QRZ23" s="6"/>
      <c r="QSA23" s="8"/>
      <c r="QSB23" s="8"/>
      <c r="QSC23" s="8"/>
      <c r="QSD23" s="28"/>
      <c r="QSE23" s="7"/>
      <c r="QSF23" s="8"/>
      <c r="QSG23" s="7"/>
      <c r="QSH23" s="7"/>
      <c r="QSI23" s="6"/>
      <c r="QSJ23" s="7"/>
      <c r="QSK23" s="8"/>
      <c r="QSL23" s="6"/>
      <c r="QSM23" s="8"/>
      <c r="QSN23" s="6"/>
      <c r="QSO23" s="8"/>
      <c r="QSP23" s="8"/>
      <c r="QSQ23" s="6"/>
      <c r="QSR23" s="6"/>
      <c r="QSS23" s="8"/>
      <c r="QST23" s="8"/>
      <c r="QSU23" s="8"/>
      <c r="QSV23" s="28"/>
      <c r="QSW23" s="7"/>
      <c r="QSX23" s="8"/>
      <c r="QSY23" s="7"/>
      <c r="QSZ23" s="7"/>
      <c r="QTA23" s="6"/>
      <c r="QTB23" s="7"/>
      <c r="QTC23" s="8"/>
      <c r="QTD23" s="6"/>
      <c r="QTE23" s="8"/>
      <c r="QTF23" s="6"/>
      <c r="QTG23" s="8"/>
      <c r="QTH23" s="8"/>
      <c r="QTI23" s="6"/>
      <c r="QTJ23" s="6"/>
      <c r="QTK23" s="8"/>
      <c r="QTL23" s="8"/>
      <c r="QTM23" s="8"/>
      <c r="QTN23" s="28"/>
      <c r="QTO23" s="7"/>
      <c r="QTP23" s="8"/>
      <c r="QTQ23" s="7"/>
      <c r="QTR23" s="7"/>
      <c r="QTS23" s="6"/>
      <c r="QTT23" s="7"/>
      <c r="QTU23" s="8"/>
      <c r="QTV23" s="6"/>
      <c r="QTW23" s="8"/>
      <c r="QTX23" s="6"/>
      <c r="QTY23" s="8"/>
      <c r="QTZ23" s="8"/>
      <c r="QUA23" s="6"/>
      <c r="QUB23" s="6"/>
      <c r="QUC23" s="8"/>
      <c r="QUD23" s="8"/>
      <c r="QUE23" s="8"/>
      <c r="QUF23" s="28"/>
      <c r="QUG23" s="7"/>
      <c r="QUH23" s="8"/>
      <c r="QUI23" s="7"/>
      <c r="QUJ23" s="7"/>
      <c r="QUK23" s="6"/>
      <c r="QUL23" s="7"/>
      <c r="QUM23" s="8"/>
      <c r="QUN23" s="6"/>
      <c r="QUO23" s="8"/>
      <c r="QUP23" s="6"/>
      <c r="QUQ23" s="8"/>
      <c r="QUR23" s="8"/>
      <c r="QUS23" s="6"/>
      <c r="QUT23" s="6"/>
      <c r="QUU23" s="8"/>
      <c r="QUV23" s="8"/>
      <c r="QUW23" s="8"/>
      <c r="QUX23" s="28"/>
      <c r="QUY23" s="7"/>
      <c r="QUZ23" s="8"/>
      <c r="QVA23" s="7"/>
      <c r="QVB23" s="7"/>
      <c r="QVC23" s="6"/>
      <c r="QVD23" s="7"/>
      <c r="QVE23" s="8"/>
      <c r="QVF23" s="6"/>
      <c r="QVG23" s="8"/>
      <c r="QVH23" s="6"/>
      <c r="QVI23" s="8"/>
      <c r="QVJ23" s="8"/>
      <c r="QVK23" s="6"/>
      <c r="QVL23" s="6"/>
      <c r="QVM23" s="8"/>
      <c r="QVN23" s="8"/>
      <c r="QVO23" s="8"/>
      <c r="QVP23" s="28"/>
      <c r="QVQ23" s="7"/>
      <c r="QVR23" s="8"/>
      <c r="QVS23" s="7"/>
      <c r="QVT23" s="7"/>
      <c r="QVU23" s="6"/>
      <c r="QVV23" s="7"/>
      <c r="QVW23" s="8"/>
      <c r="QVX23" s="6"/>
      <c r="QVY23" s="8"/>
      <c r="QVZ23" s="6"/>
      <c r="QWA23" s="8"/>
      <c r="QWB23" s="8"/>
      <c r="QWC23" s="6"/>
      <c r="QWD23" s="6"/>
      <c r="QWE23" s="8"/>
      <c r="QWF23" s="8"/>
      <c r="QWG23" s="8"/>
      <c r="QWH23" s="28"/>
      <c r="QWI23" s="7"/>
      <c r="QWJ23" s="8"/>
      <c r="QWK23" s="7"/>
      <c r="QWL23" s="7"/>
      <c r="QWM23" s="6"/>
      <c r="QWN23" s="7"/>
      <c r="QWO23" s="8"/>
      <c r="QWP23" s="6"/>
      <c r="QWQ23" s="8"/>
      <c r="QWR23" s="6"/>
      <c r="QWS23" s="8"/>
      <c r="QWT23" s="8"/>
      <c r="QWU23" s="6"/>
      <c r="QWV23" s="6"/>
      <c r="QWW23" s="8"/>
      <c r="QWX23" s="8"/>
      <c r="QWY23" s="8"/>
      <c r="QWZ23" s="28"/>
      <c r="QXA23" s="7"/>
      <c r="QXB23" s="8"/>
      <c r="QXC23" s="7"/>
      <c r="QXD23" s="7"/>
      <c r="QXE23" s="6"/>
      <c r="QXF23" s="7"/>
      <c r="QXG23" s="8"/>
      <c r="QXH23" s="6"/>
      <c r="QXI23" s="8"/>
      <c r="QXJ23" s="6"/>
      <c r="QXK23" s="8"/>
      <c r="QXL23" s="8"/>
      <c r="QXM23" s="6"/>
      <c r="QXN23" s="6"/>
      <c r="QXO23" s="8"/>
      <c r="QXP23" s="8"/>
      <c r="QXQ23" s="8"/>
      <c r="QXR23" s="28"/>
      <c r="QXS23" s="7"/>
      <c r="QXT23" s="8"/>
      <c r="QXU23" s="7"/>
      <c r="QXV23" s="7"/>
      <c r="QXW23" s="6"/>
      <c r="QXX23" s="7"/>
      <c r="QXY23" s="8"/>
      <c r="QXZ23" s="6"/>
      <c r="QYA23" s="8"/>
      <c r="QYB23" s="6"/>
      <c r="QYC23" s="8"/>
      <c r="QYD23" s="8"/>
      <c r="QYE23" s="6"/>
      <c r="QYF23" s="6"/>
      <c r="QYG23" s="8"/>
      <c r="QYH23" s="8"/>
      <c r="QYI23" s="8"/>
      <c r="QYJ23" s="28"/>
      <c r="QYK23" s="7"/>
      <c r="QYL23" s="8"/>
      <c r="QYM23" s="7"/>
      <c r="QYN23" s="7"/>
      <c r="QYO23" s="6"/>
      <c r="QYP23" s="7"/>
      <c r="QYQ23" s="8"/>
      <c r="QYR23" s="6"/>
      <c r="QYS23" s="8"/>
      <c r="QYT23" s="6"/>
      <c r="QYU23" s="8"/>
      <c r="QYV23" s="8"/>
      <c r="QYW23" s="6"/>
      <c r="QYX23" s="6"/>
      <c r="QYY23" s="8"/>
      <c r="QYZ23" s="8"/>
      <c r="QZA23" s="8"/>
      <c r="QZB23" s="28"/>
      <c r="QZC23" s="7"/>
      <c r="QZD23" s="8"/>
      <c r="QZE23" s="7"/>
      <c r="QZF23" s="7"/>
      <c r="QZG23" s="6"/>
      <c r="QZH23" s="7"/>
      <c r="QZI23" s="8"/>
      <c r="QZJ23" s="6"/>
      <c r="QZK23" s="8"/>
      <c r="QZL23" s="6"/>
      <c r="QZM23" s="8"/>
      <c r="QZN23" s="8"/>
      <c r="QZO23" s="6"/>
      <c r="QZP23" s="6"/>
      <c r="QZQ23" s="8"/>
      <c r="QZR23" s="8"/>
      <c r="QZS23" s="8"/>
      <c r="QZT23" s="28"/>
      <c r="QZU23" s="7"/>
      <c r="QZV23" s="8"/>
      <c r="QZW23" s="7"/>
      <c r="QZX23" s="7"/>
      <c r="QZY23" s="6"/>
      <c r="QZZ23" s="7"/>
      <c r="RAA23" s="8"/>
      <c r="RAB23" s="6"/>
      <c r="RAC23" s="8"/>
      <c r="RAD23" s="6"/>
      <c r="RAE23" s="8"/>
      <c r="RAF23" s="8"/>
      <c r="RAG23" s="6"/>
      <c r="RAH23" s="6"/>
      <c r="RAI23" s="8"/>
      <c r="RAJ23" s="8"/>
      <c r="RAK23" s="8"/>
      <c r="RAL23" s="28"/>
      <c r="RAM23" s="7"/>
      <c r="RAN23" s="8"/>
      <c r="RAO23" s="7"/>
      <c r="RAP23" s="7"/>
      <c r="RAQ23" s="6"/>
      <c r="RAR23" s="7"/>
      <c r="RAS23" s="8"/>
      <c r="RAT23" s="6"/>
      <c r="RAU23" s="8"/>
      <c r="RAV23" s="6"/>
      <c r="RAW23" s="8"/>
      <c r="RAX23" s="8"/>
      <c r="RAY23" s="6"/>
      <c r="RAZ23" s="6"/>
      <c r="RBA23" s="8"/>
      <c r="RBB23" s="8"/>
      <c r="RBC23" s="8"/>
      <c r="RBD23" s="28"/>
      <c r="RBE23" s="7"/>
      <c r="RBF23" s="8"/>
      <c r="RBG23" s="7"/>
      <c r="RBH23" s="7"/>
      <c r="RBI23" s="6"/>
      <c r="RBJ23" s="7"/>
      <c r="RBK23" s="8"/>
      <c r="RBL23" s="6"/>
      <c r="RBM23" s="8"/>
      <c r="RBN23" s="6"/>
      <c r="RBO23" s="8"/>
      <c r="RBP23" s="8"/>
      <c r="RBQ23" s="6"/>
      <c r="RBR23" s="6"/>
      <c r="RBS23" s="8"/>
      <c r="RBT23" s="8"/>
      <c r="RBU23" s="8"/>
      <c r="RBV23" s="28"/>
      <c r="RBW23" s="7"/>
      <c r="RBX23" s="8"/>
      <c r="RBY23" s="7"/>
      <c r="RBZ23" s="7"/>
      <c r="RCA23" s="6"/>
      <c r="RCB23" s="7"/>
      <c r="RCC23" s="8"/>
      <c r="RCD23" s="6"/>
      <c r="RCE23" s="8"/>
      <c r="RCF23" s="6"/>
      <c r="RCG23" s="8"/>
      <c r="RCH23" s="8"/>
      <c r="RCI23" s="6"/>
      <c r="RCJ23" s="6"/>
      <c r="RCK23" s="8"/>
      <c r="RCL23" s="8"/>
      <c r="RCM23" s="8"/>
      <c r="RCN23" s="28"/>
      <c r="RCO23" s="7"/>
      <c r="RCP23" s="8"/>
      <c r="RCQ23" s="7"/>
      <c r="RCR23" s="7"/>
      <c r="RCS23" s="6"/>
      <c r="RCT23" s="7"/>
      <c r="RCU23" s="8"/>
      <c r="RCV23" s="6"/>
      <c r="RCW23" s="8"/>
      <c r="RCX23" s="6"/>
      <c r="RCY23" s="8"/>
      <c r="RCZ23" s="8"/>
      <c r="RDA23" s="6"/>
      <c r="RDB23" s="6"/>
      <c r="RDC23" s="8"/>
      <c r="RDD23" s="8"/>
      <c r="RDE23" s="8"/>
      <c r="RDF23" s="28"/>
      <c r="RDG23" s="7"/>
      <c r="RDH23" s="8"/>
      <c r="RDI23" s="7"/>
      <c r="RDJ23" s="7"/>
      <c r="RDK23" s="6"/>
      <c r="RDL23" s="7"/>
      <c r="RDM23" s="8"/>
      <c r="RDN23" s="6"/>
      <c r="RDO23" s="8"/>
      <c r="RDP23" s="6"/>
      <c r="RDQ23" s="8"/>
      <c r="RDR23" s="8"/>
      <c r="RDS23" s="6"/>
      <c r="RDT23" s="6"/>
      <c r="RDU23" s="8"/>
      <c r="RDV23" s="8"/>
      <c r="RDW23" s="8"/>
      <c r="RDX23" s="28"/>
      <c r="RDY23" s="7"/>
      <c r="RDZ23" s="8"/>
      <c r="REA23" s="7"/>
      <c r="REB23" s="7"/>
      <c r="REC23" s="6"/>
      <c r="RED23" s="7"/>
      <c r="REE23" s="8"/>
      <c r="REF23" s="6"/>
      <c r="REG23" s="8"/>
      <c r="REH23" s="6"/>
      <c r="REI23" s="8"/>
      <c r="REJ23" s="8"/>
      <c r="REK23" s="6"/>
      <c r="REL23" s="6"/>
      <c r="REM23" s="8"/>
      <c r="REN23" s="8"/>
      <c r="REO23" s="8"/>
      <c r="REP23" s="28"/>
      <c r="REQ23" s="7"/>
      <c r="RER23" s="8"/>
      <c r="RES23" s="7"/>
      <c r="RET23" s="7"/>
      <c r="REU23" s="6"/>
      <c r="REV23" s="7"/>
      <c r="REW23" s="8"/>
      <c r="REX23" s="6"/>
      <c r="REY23" s="8"/>
      <c r="REZ23" s="6"/>
      <c r="RFA23" s="8"/>
      <c r="RFB23" s="8"/>
      <c r="RFC23" s="6"/>
      <c r="RFD23" s="6"/>
      <c r="RFE23" s="8"/>
      <c r="RFF23" s="8"/>
      <c r="RFG23" s="8"/>
      <c r="RFH23" s="28"/>
      <c r="RFI23" s="7"/>
      <c r="RFJ23" s="8"/>
      <c r="RFK23" s="7"/>
      <c r="RFL23" s="7"/>
      <c r="RFM23" s="6"/>
      <c r="RFN23" s="7"/>
      <c r="RFO23" s="8"/>
      <c r="RFP23" s="6"/>
      <c r="RFQ23" s="8"/>
      <c r="RFR23" s="6"/>
      <c r="RFS23" s="8"/>
      <c r="RFT23" s="8"/>
      <c r="RFU23" s="6"/>
      <c r="RFV23" s="6"/>
      <c r="RFW23" s="8"/>
      <c r="RFX23" s="8"/>
      <c r="RFY23" s="8"/>
      <c r="RFZ23" s="28"/>
      <c r="RGA23" s="7"/>
      <c r="RGB23" s="8"/>
      <c r="RGC23" s="7"/>
      <c r="RGD23" s="7"/>
      <c r="RGE23" s="6"/>
      <c r="RGF23" s="7"/>
      <c r="RGG23" s="8"/>
      <c r="RGH23" s="6"/>
      <c r="RGI23" s="8"/>
      <c r="RGJ23" s="6"/>
      <c r="RGK23" s="8"/>
      <c r="RGL23" s="8"/>
      <c r="RGM23" s="6"/>
      <c r="RGN23" s="6"/>
      <c r="RGO23" s="8"/>
      <c r="RGP23" s="8"/>
      <c r="RGQ23" s="8"/>
      <c r="RGR23" s="28"/>
      <c r="RGS23" s="7"/>
      <c r="RGT23" s="8"/>
      <c r="RGU23" s="7"/>
      <c r="RGV23" s="7"/>
      <c r="RGW23" s="6"/>
      <c r="RGX23" s="7"/>
      <c r="RGY23" s="8"/>
      <c r="RGZ23" s="6"/>
      <c r="RHA23" s="8"/>
      <c r="RHB23" s="6"/>
      <c r="RHC23" s="8"/>
      <c r="RHD23" s="8"/>
      <c r="RHE23" s="6"/>
      <c r="RHF23" s="6"/>
      <c r="RHG23" s="8"/>
      <c r="RHH23" s="8"/>
      <c r="RHI23" s="8"/>
      <c r="RHJ23" s="28"/>
      <c r="RHK23" s="7"/>
      <c r="RHL23" s="8"/>
      <c r="RHM23" s="7"/>
      <c r="RHN23" s="7"/>
      <c r="RHO23" s="6"/>
      <c r="RHP23" s="7"/>
      <c r="RHQ23" s="8"/>
      <c r="RHR23" s="6"/>
      <c r="RHS23" s="8"/>
      <c r="RHT23" s="6"/>
      <c r="RHU23" s="8"/>
      <c r="RHV23" s="8"/>
      <c r="RHW23" s="6"/>
      <c r="RHX23" s="6"/>
      <c r="RHY23" s="8"/>
      <c r="RHZ23" s="8"/>
      <c r="RIA23" s="8"/>
      <c r="RIB23" s="28"/>
      <c r="RIC23" s="7"/>
      <c r="RID23" s="8"/>
      <c r="RIE23" s="7"/>
      <c r="RIF23" s="7"/>
      <c r="RIG23" s="6"/>
      <c r="RIH23" s="7"/>
      <c r="RII23" s="8"/>
      <c r="RIJ23" s="6"/>
      <c r="RIK23" s="8"/>
      <c r="RIL23" s="6"/>
      <c r="RIM23" s="8"/>
      <c r="RIN23" s="8"/>
      <c r="RIO23" s="6"/>
      <c r="RIP23" s="6"/>
      <c r="RIQ23" s="8"/>
      <c r="RIR23" s="8"/>
      <c r="RIS23" s="8"/>
      <c r="RIT23" s="28"/>
      <c r="RIU23" s="7"/>
      <c r="RIV23" s="8"/>
      <c r="RIW23" s="7"/>
      <c r="RIX23" s="7"/>
      <c r="RIY23" s="6"/>
      <c r="RIZ23" s="7"/>
      <c r="RJA23" s="8"/>
      <c r="RJB23" s="6"/>
      <c r="RJC23" s="8"/>
      <c r="RJD23" s="6"/>
      <c r="RJE23" s="8"/>
      <c r="RJF23" s="8"/>
      <c r="RJG23" s="6"/>
      <c r="RJH23" s="6"/>
      <c r="RJI23" s="8"/>
      <c r="RJJ23" s="8"/>
      <c r="RJK23" s="8"/>
      <c r="RJL23" s="28"/>
      <c r="RJM23" s="7"/>
      <c r="RJN23" s="8"/>
      <c r="RJO23" s="7"/>
      <c r="RJP23" s="7"/>
      <c r="RJQ23" s="6"/>
      <c r="RJR23" s="7"/>
      <c r="RJS23" s="8"/>
      <c r="RJT23" s="6"/>
      <c r="RJU23" s="8"/>
      <c r="RJV23" s="6"/>
      <c r="RJW23" s="8"/>
      <c r="RJX23" s="8"/>
      <c r="RJY23" s="6"/>
      <c r="RJZ23" s="6"/>
      <c r="RKA23" s="8"/>
      <c r="RKB23" s="8"/>
      <c r="RKC23" s="8"/>
      <c r="RKD23" s="28"/>
      <c r="RKE23" s="7"/>
      <c r="RKF23" s="8"/>
      <c r="RKG23" s="7"/>
      <c r="RKH23" s="7"/>
      <c r="RKI23" s="6"/>
      <c r="RKJ23" s="7"/>
      <c r="RKK23" s="8"/>
      <c r="RKL23" s="6"/>
      <c r="RKM23" s="8"/>
      <c r="RKN23" s="6"/>
      <c r="RKO23" s="8"/>
      <c r="RKP23" s="8"/>
      <c r="RKQ23" s="6"/>
      <c r="RKR23" s="6"/>
      <c r="RKS23" s="8"/>
      <c r="RKT23" s="8"/>
      <c r="RKU23" s="8"/>
      <c r="RKV23" s="28"/>
      <c r="RKW23" s="7"/>
      <c r="RKX23" s="8"/>
      <c r="RKY23" s="7"/>
      <c r="RKZ23" s="7"/>
      <c r="RLA23" s="6"/>
      <c r="RLB23" s="7"/>
      <c r="RLC23" s="8"/>
      <c r="RLD23" s="6"/>
      <c r="RLE23" s="8"/>
      <c r="RLF23" s="6"/>
      <c r="RLG23" s="8"/>
      <c r="RLH23" s="8"/>
      <c r="RLI23" s="6"/>
      <c r="RLJ23" s="6"/>
      <c r="RLK23" s="8"/>
      <c r="RLL23" s="8"/>
      <c r="RLM23" s="8"/>
      <c r="RLN23" s="28"/>
      <c r="RLO23" s="7"/>
      <c r="RLP23" s="8"/>
      <c r="RLQ23" s="7"/>
      <c r="RLR23" s="7"/>
      <c r="RLS23" s="6"/>
      <c r="RLT23" s="7"/>
      <c r="RLU23" s="8"/>
      <c r="RLV23" s="6"/>
      <c r="RLW23" s="8"/>
      <c r="RLX23" s="6"/>
      <c r="RLY23" s="8"/>
      <c r="RLZ23" s="8"/>
      <c r="RMA23" s="6"/>
      <c r="RMB23" s="6"/>
      <c r="RMC23" s="8"/>
      <c r="RMD23" s="8"/>
      <c r="RME23" s="8"/>
      <c r="RMF23" s="28"/>
      <c r="RMG23" s="7"/>
      <c r="RMH23" s="8"/>
      <c r="RMI23" s="7"/>
      <c r="RMJ23" s="7"/>
      <c r="RMK23" s="6"/>
      <c r="RML23" s="7"/>
      <c r="RMM23" s="8"/>
      <c r="RMN23" s="6"/>
      <c r="RMO23" s="8"/>
      <c r="RMP23" s="6"/>
      <c r="RMQ23" s="8"/>
      <c r="RMR23" s="8"/>
      <c r="RMS23" s="6"/>
      <c r="RMT23" s="6"/>
      <c r="RMU23" s="8"/>
      <c r="RMV23" s="8"/>
      <c r="RMW23" s="8"/>
      <c r="RMX23" s="28"/>
      <c r="RMY23" s="7"/>
      <c r="RMZ23" s="8"/>
      <c r="RNA23" s="7"/>
      <c r="RNB23" s="7"/>
      <c r="RNC23" s="6"/>
      <c r="RND23" s="7"/>
      <c r="RNE23" s="8"/>
      <c r="RNF23" s="6"/>
      <c r="RNG23" s="8"/>
      <c r="RNH23" s="6"/>
      <c r="RNI23" s="8"/>
      <c r="RNJ23" s="8"/>
      <c r="RNK23" s="6"/>
      <c r="RNL23" s="6"/>
      <c r="RNM23" s="8"/>
      <c r="RNN23" s="8"/>
      <c r="RNO23" s="8"/>
      <c r="RNP23" s="28"/>
      <c r="RNQ23" s="7"/>
      <c r="RNR23" s="8"/>
      <c r="RNS23" s="7"/>
      <c r="RNT23" s="7"/>
      <c r="RNU23" s="6"/>
      <c r="RNV23" s="7"/>
      <c r="RNW23" s="8"/>
      <c r="RNX23" s="6"/>
      <c r="RNY23" s="8"/>
      <c r="RNZ23" s="6"/>
      <c r="ROA23" s="8"/>
      <c r="ROB23" s="8"/>
      <c r="ROC23" s="6"/>
      <c r="ROD23" s="6"/>
      <c r="ROE23" s="8"/>
      <c r="ROF23" s="8"/>
      <c r="ROG23" s="8"/>
      <c r="ROH23" s="28"/>
      <c r="ROI23" s="7"/>
      <c r="ROJ23" s="8"/>
      <c r="ROK23" s="7"/>
      <c r="ROL23" s="7"/>
      <c r="ROM23" s="6"/>
      <c r="RON23" s="7"/>
      <c r="ROO23" s="8"/>
      <c r="ROP23" s="6"/>
      <c r="ROQ23" s="8"/>
      <c r="ROR23" s="6"/>
      <c r="ROS23" s="8"/>
      <c r="ROT23" s="8"/>
      <c r="ROU23" s="6"/>
      <c r="ROV23" s="6"/>
      <c r="ROW23" s="8"/>
      <c r="ROX23" s="8"/>
      <c r="ROY23" s="8"/>
      <c r="ROZ23" s="28"/>
      <c r="RPA23" s="7"/>
      <c r="RPB23" s="8"/>
      <c r="RPC23" s="7"/>
      <c r="RPD23" s="7"/>
      <c r="RPE23" s="6"/>
      <c r="RPF23" s="7"/>
      <c r="RPG23" s="8"/>
      <c r="RPH23" s="6"/>
      <c r="RPI23" s="8"/>
      <c r="RPJ23" s="6"/>
      <c r="RPK23" s="8"/>
      <c r="RPL23" s="8"/>
      <c r="RPM23" s="6"/>
      <c r="RPN23" s="6"/>
      <c r="RPO23" s="8"/>
      <c r="RPP23" s="8"/>
      <c r="RPQ23" s="8"/>
      <c r="RPR23" s="28"/>
      <c r="RPS23" s="7"/>
      <c r="RPT23" s="8"/>
      <c r="RPU23" s="7"/>
      <c r="RPV23" s="7"/>
      <c r="RPW23" s="6"/>
      <c r="RPX23" s="7"/>
      <c r="RPY23" s="8"/>
      <c r="RPZ23" s="6"/>
      <c r="RQA23" s="8"/>
      <c r="RQB23" s="6"/>
      <c r="RQC23" s="8"/>
      <c r="RQD23" s="8"/>
      <c r="RQE23" s="6"/>
      <c r="RQF23" s="6"/>
      <c r="RQG23" s="8"/>
      <c r="RQH23" s="8"/>
      <c r="RQI23" s="8"/>
      <c r="RQJ23" s="28"/>
      <c r="RQK23" s="7"/>
      <c r="RQL23" s="8"/>
      <c r="RQM23" s="7"/>
      <c r="RQN23" s="7"/>
      <c r="RQO23" s="6"/>
      <c r="RQP23" s="7"/>
      <c r="RQQ23" s="8"/>
      <c r="RQR23" s="6"/>
      <c r="RQS23" s="8"/>
      <c r="RQT23" s="6"/>
      <c r="RQU23" s="8"/>
      <c r="RQV23" s="8"/>
      <c r="RQW23" s="6"/>
      <c r="RQX23" s="6"/>
      <c r="RQY23" s="8"/>
      <c r="RQZ23" s="8"/>
      <c r="RRA23" s="8"/>
      <c r="RRB23" s="28"/>
      <c r="RRC23" s="7"/>
      <c r="RRD23" s="8"/>
      <c r="RRE23" s="7"/>
      <c r="RRF23" s="7"/>
      <c r="RRG23" s="6"/>
      <c r="RRH23" s="7"/>
      <c r="RRI23" s="8"/>
      <c r="RRJ23" s="6"/>
      <c r="RRK23" s="8"/>
      <c r="RRL23" s="6"/>
      <c r="RRM23" s="8"/>
      <c r="RRN23" s="8"/>
      <c r="RRO23" s="6"/>
      <c r="RRP23" s="6"/>
      <c r="RRQ23" s="8"/>
      <c r="RRR23" s="8"/>
      <c r="RRS23" s="8"/>
      <c r="RRT23" s="28"/>
      <c r="RRU23" s="7"/>
      <c r="RRV23" s="8"/>
      <c r="RRW23" s="7"/>
      <c r="RRX23" s="7"/>
      <c r="RRY23" s="6"/>
      <c r="RRZ23" s="7"/>
      <c r="RSA23" s="8"/>
      <c r="RSB23" s="6"/>
      <c r="RSC23" s="8"/>
      <c r="RSD23" s="6"/>
      <c r="RSE23" s="8"/>
      <c r="RSF23" s="8"/>
      <c r="RSG23" s="6"/>
      <c r="RSH23" s="6"/>
      <c r="RSI23" s="8"/>
      <c r="RSJ23" s="8"/>
      <c r="RSK23" s="8"/>
      <c r="RSL23" s="28"/>
      <c r="RSM23" s="7"/>
      <c r="RSN23" s="8"/>
      <c r="RSO23" s="7"/>
      <c r="RSP23" s="7"/>
      <c r="RSQ23" s="6"/>
      <c r="RSR23" s="7"/>
      <c r="RSS23" s="8"/>
      <c r="RST23" s="6"/>
      <c r="RSU23" s="8"/>
      <c r="RSV23" s="6"/>
      <c r="RSW23" s="8"/>
      <c r="RSX23" s="8"/>
      <c r="RSY23" s="6"/>
      <c r="RSZ23" s="6"/>
      <c r="RTA23" s="8"/>
      <c r="RTB23" s="8"/>
      <c r="RTC23" s="8"/>
      <c r="RTD23" s="28"/>
      <c r="RTE23" s="7"/>
      <c r="RTF23" s="8"/>
      <c r="RTG23" s="7"/>
      <c r="RTH23" s="7"/>
      <c r="RTI23" s="6"/>
      <c r="RTJ23" s="7"/>
      <c r="RTK23" s="8"/>
      <c r="RTL23" s="6"/>
      <c r="RTM23" s="8"/>
      <c r="RTN23" s="6"/>
      <c r="RTO23" s="8"/>
      <c r="RTP23" s="8"/>
      <c r="RTQ23" s="6"/>
      <c r="RTR23" s="6"/>
      <c r="RTS23" s="8"/>
      <c r="RTT23" s="8"/>
      <c r="RTU23" s="8"/>
      <c r="RTV23" s="28"/>
      <c r="RTW23" s="7"/>
      <c r="RTX23" s="8"/>
      <c r="RTY23" s="7"/>
      <c r="RTZ23" s="7"/>
      <c r="RUA23" s="6"/>
      <c r="RUB23" s="7"/>
      <c r="RUC23" s="8"/>
      <c r="RUD23" s="6"/>
      <c r="RUE23" s="8"/>
      <c r="RUF23" s="6"/>
      <c r="RUG23" s="8"/>
      <c r="RUH23" s="8"/>
      <c r="RUI23" s="6"/>
      <c r="RUJ23" s="6"/>
      <c r="RUK23" s="8"/>
      <c r="RUL23" s="8"/>
      <c r="RUM23" s="8"/>
      <c r="RUN23" s="28"/>
      <c r="RUO23" s="7"/>
      <c r="RUP23" s="8"/>
      <c r="RUQ23" s="7"/>
      <c r="RUR23" s="7"/>
      <c r="RUS23" s="6"/>
      <c r="RUT23" s="7"/>
      <c r="RUU23" s="8"/>
      <c r="RUV23" s="6"/>
      <c r="RUW23" s="8"/>
      <c r="RUX23" s="6"/>
      <c r="RUY23" s="8"/>
      <c r="RUZ23" s="8"/>
      <c r="RVA23" s="6"/>
      <c r="RVB23" s="6"/>
      <c r="RVC23" s="8"/>
      <c r="RVD23" s="8"/>
      <c r="RVE23" s="8"/>
      <c r="RVF23" s="28"/>
      <c r="RVG23" s="7"/>
      <c r="RVH23" s="8"/>
      <c r="RVI23" s="7"/>
      <c r="RVJ23" s="7"/>
      <c r="RVK23" s="6"/>
      <c r="RVL23" s="7"/>
      <c r="RVM23" s="8"/>
      <c r="RVN23" s="6"/>
      <c r="RVO23" s="8"/>
      <c r="RVP23" s="6"/>
      <c r="RVQ23" s="8"/>
      <c r="RVR23" s="8"/>
      <c r="RVS23" s="6"/>
      <c r="RVT23" s="6"/>
      <c r="RVU23" s="8"/>
      <c r="RVV23" s="8"/>
      <c r="RVW23" s="8"/>
      <c r="RVX23" s="28"/>
      <c r="RVY23" s="7"/>
      <c r="RVZ23" s="8"/>
      <c r="RWA23" s="7"/>
      <c r="RWB23" s="7"/>
      <c r="RWC23" s="6"/>
      <c r="RWD23" s="7"/>
      <c r="RWE23" s="8"/>
      <c r="RWF23" s="6"/>
      <c r="RWG23" s="8"/>
      <c r="RWH23" s="6"/>
      <c r="RWI23" s="8"/>
      <c r="RWJ23" s="8"/>
      <c r="RWK23" s="6"/>
      <c r="RWL23" s="6"/>
      <c r="RWM23" s="8"/>
      <c r="RWN23" s="8"/>
      <c r="RWO23" s="8"/>
      <c r="RWP23" s="28"/>
      <c r="RWQ23" s="7"/>
      <c r="RWR23" s="8"/>
      <c r="RWS23" s="7"/>
      <c r="RWT23" s="7"/>
      <c r="RWU23" s="6"/>
      <c r="RWV23" s="7"/>
      <c r="RWW23" s="8"/>
      <c r="RWX23" s="6"/>
      <c r="RWY23" s="8"/>
      <c r="RWZ23" s="6"/>
      <c r="RXA23" s="8"/>
      <c r="RXB23" s="8"/>
      <c r="RXC23" s="6"/>
      <c r="RXD23" s="6"/>
      <c r="RXE23" s="8"/>
      <c r="RXF23" s="8"/>
      <c r="RXG23" s="8"/>
      <c r="RXH23" s="28"/>
      <c r="RXI23" s="7"/>
      <c r="RXJ23" s="8"/>
      <c r="RXK23" s="7"/>
      <c r="RXL23" s="7"/>
      <c r="RXM23" s="6"/>
      <c r="RXN23" s="7"/>
      <c r="RXO23" s="8"/>
      <c r="RXP23" s="6"/>
      <c r="RXQ23" s="8"/>
      <c r="RXR23" s="6"/>
      <c r="RXS23" s="8"/>
      <c r="RXT23" s="8"/>
      <c r="RXU23" s="6"/>
      <c r="RXV23" s="6"/>
      <c r="RXW23" s="8"/>
      <c r="RXX23" s="8"/>
      <c r="RXY23" s="8"/>
      <c r="RXZ23" s="28"/>
      <c r="RYA23" s="7"/>
      <c r="RYB23" s="8"/>
      <c r="RYC23" s="7"/>
      <c r="RYD23" s="7"/>
      <c r="RYE23" s="6"/>
      <c r="RYF23" s="7"/>
      <c r="RYG23" s="8"/>
      <c r="RYH23" s="6"/>
      <c r="RYI23" s="8"/>
      <c r="RYJ23" s="6"/>
      <c r="RYK23" s="8"/>
      <c r="RYL23" s="8"/>
      <c r="RYM23" s="6"/>
      <c r="RYN23" s="6"/>
      <c r="RYO23" s="8"/>
      <c r="RYP23" s="8"/>
      <c r="RYQ23" s="8"/>
      <c r="RYR23" s="28"/>
      <c r="RYS23" s="7"/>
      <c r="RYT23" s="8"/>
      <c r="RYU23" s="7"/>
      <c r="RYV23" s="7"/>
      <c r="RYW23" s="6"/>
      <c r="RYX23" s="7"/>
      <c r="RYY23" s="8"/>
      <c r="RYZ23" s="6"/>
      <c r="RZA23" s="8"/>
      <c r="RZB23" s="6"/>
      <c r="RZC23" s="8"/>
      <c r="RZD23" s="8"/>
      <c r="RZE23" s="6"/>
      <c r="RZF23" s="6"/>
      <c r="RZG23" s="8"/>
      <c r="RZH23" s="8"/>
      <c r="RZI23" s="8"/>
      <c r="RZJ23" s="28"/>
      <c r="RZK23" s="7"/>
      <c r="RZL23" s="8"/>
      <c r="RZM23" s="7"/>
      <c r="RZN23" s="7"/>
      <c r="RZO23" s="6"/>
      <c r="RZP23" s="7"/>
      <c r="RZQ23" s="8"/>
      <c r="RZR23" s="6"/>
      <c r="RZS23" s="8"/>
      <c r="RZT23" s="6"/>
      <c r="RZU23" s="8"/>
      <c r="RZV23" s="8"/>
      <c r="RZW23" s="6"/>
      <c r="RZX23" s="6"/>
      <c r="RZY23" s="8"/>
      <c r="RZZ23" s="8"/>
      <c r="SAA23" s="8"/>
      <c r="SAB23" s="28"/>
      <c r="SAC23" s="7"/>
      <c r="SAD23" s="8"/>
      <c r="SAE23" s="7"/>
      <c r="SAF23" s="7"/>
      <c r="SAG23" s="6"/>
      <c r="SAH23" s="7"/>
      <c r="SAI23" s="8"/>
      <c r="SAJ23" s="6"/>
      <c r="SAK23" s="8"/>
      <c r="SAL23" s="6"/>
      <c r="SAM23" s="8"/>
      <c r="SAN23" s="8"/>
      <c r="SAO23" s="6"/>
      <c r="SAP23" s="6"/>
      <c r="SAQ23" s="8"/>
      <c r="SAR23" s="8"/>
      <c r="SAS23" s="8"/>
      <c r="SAT23" s="28"/>
      <c r="SAU23" s="7"/>
      <c r="SAV23" s="8"/>
      <c r="SAW23" s="7"/>
      <c r="SAX23" s="7"/>
      <c r="SAY23" s="6"/>
      <c r="SAZ23" s="7"/>
      <c r="SBA23" s="8"/>
      <c r="SBB23" s="6"/>
      <c r="SBC23" s="8"/>
      <c r="SBD23" s="6"/>
      <c r="SBE23" s="8"/>
      <c r="SBF23" s="8"/>
      <c r="SBG23" s="6"/>
      <c r="SBH23" s="6"/>
      <c r="SBI23" s="8"/>
      <c r="SBJ23" s="8"/>
      <c r="SBK23" s="8"/>
      <c r="SBL23" s="28"/>
      <c r="SBM23" s="7"/>
      <c r="SBN23" s="8"/>
      <c r="SBO23" s="7"/>
      <c r="SBP23" s="7"/>
      <c r="SBQ23" s="6"/>
      <c r="SBR23" s="7"/>
      <c r="SBS23" s="8"/>
      <c r="SBT23" s="6"/>
      <c r="SBU23" s="8"/>
      <c r="SBV23" s="6"/>
      <c r="SBW23" s="8"/>
      <c r="SBX23" s="8"/>
      <c r="SBY23" s="6"/>
      <c r="SBZ23" s="6"/>
      <c r="SCA23" s="8"/>
      <c r="SCB23" s="8"/>
      <c r="SCC23" s="8"/>
      <c r="SCD23" s="28"/>
      <c r="SCE23" s="7"/>
      <c r="SCF23" s="8"/>
      <c r="SCG23" s="7"/>
      <c r="SCH23" s="7"/>
      <c r="SCI23" s="6"/>
      <c r="SCJ23" s="7"/>
      <c r="SCK23" s="8"/>
      <c r="SCL23" s="6"/>
      <c r="SCM23" s="8"/>
      <c r="SCN23" s="6"/>
      <c r="SCO23" s="8"/>
      <c r="SCP23" s="8"/>
      <c r="SCQ23" s="6"/>
      <c r="SCR23" s="6"/>
      <c r="SCS23" s="8"/>
      <c r="SCT23" s="8"/>
      <c r="SCU23" s="8"/>
      <c r="SCV23" s="28"/>
      <c r="SCW23" s="7"/>
      <c r="SCX23" s="8"/>
      <c r="SCY23" s="7"/>
      <c r="SCZ23" s="7"/>
      <c r="SDA23" s="6"/>
      <c r="SDB23" s="7"/>
      <c r="SDC23" s="8"/>
      <c r="SDD23" s="6"/>
      <c r="SDE23" s="8"/>
      <c r="SDF23" s="6"/>
      <c r="SDG23" s="8"/>
      <c r="SDH23" s="8"/>
      <c r="SDI23" s="6"/>
      <c r="SDJ23" s="6"/>
      <c r="SDK23" s="8"/>
      <c r="SDL23" s="8"/>
      <c r="SDM23" s="8"/>
      <c r="SDN23" s="28"/>
      <c r="SDO23" s="7"/>
      <c r="SDP23" s="8"/>
      <c r="SDQ23" s="7"/>
      <c r="SDR23" s="7"/>
      <c r="SDS23" s="6"/>
      <c r="SDT23" s="7"/>
      <c r="SDU23" s="8"/>
      <c r="SDV23" s="6"/>
      <c r="SDW23" s="8"/>
      <c r="SDX23" s="6"/>
      <c r="SDY23" s="8"/>
      <c r="SDZ23" s="8"/>
      <c r="SEA23" s="6"/>
      <c r="SEB23" s="6"/>
      <c r="SEC23" s="8"/>
      <c r="SED23" s="8"/>
      <c r="SEE23" s="8"/>
      <c r="SEF23" s="28"/>
      <c r="SEG23" s="7"/>
      <c r="SEH23" s="8"/>
      <c r="SEI23" s="7"/>
      <c r="SEJ23" s="7"/>
      <c r="SEK23" s="6"/>
      <c r="SEL23" s="7"/>
      <c r="SEM23" s="8"/>
      <c r="SEN23" s="6"/>
      <c r="SEO23" s="8"/>
      <c r="SEP23" s="6"/>
      <c r="SEQ23" s="8"/>
      <c r="SER23" s="8"/>
      <c r="SES23" s="6"/>
      <c r="SET23" s="6"/>
      <c r="SEU23" s="8"/>
      <c r="SEV23" s="8"/>
      <c r="SEW23" s="8"/>
      <c r="SEX23" s="28"/>
      <c r="SEY23" s="7"/>
      <c r="SEZ23" s="8"/>
      <c r="SFA23" s="7"/>
      <c r="SFB23" s="7"/>
      <c r="SFC23" s="6"/>
      <c r="SFD23" s="7"/>
      <c r="SFE23" s="8"/>
      <c r="SFF23" s="6"/>
      <c r="SFG23" s="8"/>
      <c r="SFH23" s="6"/>
      <c r="SFI23" s="8"/>
      <c r="SFJ23" s="8"/>
      <c r="SFK23" s="6"/>
      <c r="SFL23" s="6"/>
      <c r="SFM23" s="8"/>
      <c r="SFN23" s="8"/>
      <c r="SFO23" s="8"/>
      <c r="SFP23" s="28"/>
      <c r="SFQ23" s="7"/>
      <c r="SFR23" s="8"/>
      <c r="SFS23" s="7"/>
      <c r="SFT23" s="7"/>
      <c r="SFU23" s="6"/>
      <c r="SFV23" s="7"/>
      <c r="SFW23" s="8"/>
      <c r="SFX23" s="6"/>
      <c r="SFY23" s="8"/>
      <c r="SFZ23" s="6"/>
      <c r="SGA23" s="8"/>
      <c r="SGB23" s="8"/>
      <c r="SGC23" s="6"/>
      <c r="SGD23" s="6"/>
      <c r="SGE23" s="8"/>
      <c r="SGF23" s="8"/>
      <c r="SGG23" s="8"/>
      <c r="SGH23" s="28"/>
      <c r="SGI23" s="7"/>
      <c r="SGJ23" s="8"/>
      <c r="SGK23" s="7"/>
      <c r="SGL23" s="7"/>
      <c r="SGM23" s="6"/>
      <c r="SGN23" s="7"/>
      <c r="SGO23" s="8"/>
      <c r="SGP23" s="6"/>
      <c r="SGQ23" s="8"/>
      <c r="SGR23" s="6"/>
      <c r="SGS23" s="8"/>
      <c r="SGT23" s="8"/>
      <c r="SGU23" s="6"/>
      <c r="SGV23" s="6"/>
      <c r="SGW23" s="8"/>
      <c r="SGX23" s="8"/>
      <c r="SGY23" s="8"/>
      <c r="SGZ23" s="28"/>
      <c r="SHA23" s="7"/>
      <c r="SHB23" s="8"/>
      <c r="SHC23" s="7"/>
      <c r="SHD23" s="7"/>
      <c r="SHE23" s="6"/>
      <c r="SHF23" s="7"/>
      <c r="SHG23" s="8"/>
      <c r="SHH23" s="6"/>
      <c r="SHI23" s="8"/>
      <c r="SHJ23" s="6"/>
      <c r="SHK23" s="8"/>
      <c r="SHL23" s="8"/>
      <c r="SHM23" s="6"/>
      <c r="SHN23" s="6"/>
      <c r="SHO23" s="8"/>
      <c r="SHP23" s="8"/>
      <c r="SHQ23" s="8"/>
      <c r="SHR23" s="28"/>
      <c r="SHS23" s="7"/>
      <c r="SHT23" s="8"/>
      <c r="SHU23" s="7"/>
      <c r="SHV23" s="7"/>
      <c r="SHW23" s="6"/>
      <c r="SHX23" s="7"/>
      <c r="SHY23" s="8"/>
      <c r="SHZ23" s="6"/>
      <c r="SIA23" s="8"/>
      <c r="SIB23" s="6"/>
      <c r="SIC23" s="8"/>
      <c r="SID23" s="8"/>
      <c r="SIE23" s="6"/>
      <c r="SIF23" s="6"/>
      <c r="SIG23" s="8"/>
      <c r="SIH23" s="8"/>
      <c r="SII23" s="8"/>
      <c r="SIJ23" s="28"/>
      <c r="SIK23" s="7"/>
      <c r="SIL23" s="8"/>
      <c r="SIM23" s="7"/>
      <c r="SIN23" s="7"/>
      <c r="SIO23" s="6"/>
      <c r="SIP23" s="7"/>
      <c r="SIQ23" s="8"/>
      <c r="SIR23" s="6"/>
      <c r="SIS23" s="8"/>
      <c r="SIT23" s="6"/>
      <c r="SIU23" s="8"/>
      <c r="SIV23" s="8"/>
      <c r="SIW23" s="6"/>
      <c r="SIX23" s="6"/>
      <c r="SIY23" s="8"/>
      <c r="SIZ23" s="8"/>
      <c r="SJA23" s="8"/>
      <c r="SJB23" s="28"/>
      <c r="SJC23" s="7"/>
      <c r="SJD23" s="8"/>
      <c r="SJE23" s="7"/>
      <c r="SJF23" s="7"/>
      <c r="SJG23" s="6"/>
      <c r="SJH23" s="7"/>
      <c r="SJI23" s="8"/>
      <c r="SJJ23" s="6"/>
      <c r="SJK23" s="8"/>
      <c r="SJL23" s="6"/>
      <c r="SJM23" s="8"/>
      <c r="SJN23" s="8"/>
      <c r="SJO23" s="6"/>
      <c r="SJP23" s="6"/>
      <c r="SJQ23" s="8"/>
      <c r="SJR23" s="8"/>
      <c r="SJS23" s="8"/>
      <c r="SJT23" s="28"/>
      <c r="SJU23" s="7"/>
      <c r="SJV23" s="8"/>
      <c r="SJW23" s="7"/>
      <c r="SJX23" s="7"/>
      <c r="SJY23" s="6"/>
      <c r="SJZ23" s="7"/>
      <c r="SKA23" s="8"/>
      <c r="SKB23" s="6"/>
      <c r="SKC23" s="8"/>
      <c r="SKD23" s="6"/>
      <c r="SKE23" s="8"/>
      <c r="SKF23" s="8"/>
      <c r="SKG23" s="6"/>
      <c r="SKH23" s="6"/>
      <c r="SKI23" s="8"/>
      <c r="SKJ23" s="8"/>
      <c r="SKK23" s="8"/>
      <c r="SKL23" s="28"/>
      <c r="SKM23" s="7"/>
      <c r="SKN23" s="8"/>
      <c r="SKO23" s="7"/>
      <c r="SKP23" s="7"/>
      <c r="SKQ23" s="6"/>
      <c r="SKR23" s="7"/>
      <c r="SKS23" s="8"/>
      <c r="SKT23" s="6"/>
      <c r="SKU23" s="8"/>
      <c r="SKV23" s="6"/>
      <c r="SKW23" s="8"/>
      <c r="SKX23" s="8"/>
      <c r="SKY23" s="6"/>
      <c r="SKZ23" s="6"/>
      <c r="SLA23" s="8"/>
      <c r="SLB23" s="8"/>
      <c r="SLC23" s="8"/>
      <c r="SLD23" s="28"/>
      <c r="SLE23" s="7"/>
      <c r="SLF23" s="8"/>
      <c r="SLG23" s="7"/>
      <c r="SLH23" s="7"/>
      <c r="SLI23" s="6"/>
      <c r="SLJ23" s="7"/>
      <c r="SLK23" s="8"/>
      <c r="SLL23" s="6"/>
      <c r="SLM23" s="8"/>
      <c r="SLN23" s="6"/>
      <c r="SLO23" s="8"/>
      <c r="SLP23" s="8"/>
      <c r="SLQ23" s="6"/>
      <c r="SLR23" s="6"/>
      <c r="SLS23" s="8"/>
      <c r="SLT23" s="8"/>
      <c r="SLU23" s="8"/>
      <c r="SLV23" s="28"/>
      <c r="SLW23" s="7"/>
      <c r="SLX23" s="8"/>
      <c r="SLY23" s="7"/>
      <c r="SLZ23" s="7"/>
      <c r="SMA23" s="6"/>
      <c r="SMB23" s="7"/>
      <c r="SMC23" s="8"/>
      <c r="SMD23" s="6"/>
      <c r="SME23" s="8"/>
      <c r="SMF23" s="6"/>
      <c r="SMG23" s="8"/>
      <c r="SMH23" s="8"/>
      <c r="SMI23" s="6"/>
      <c r="SMJ23" s="6"/>
      <c r="SMK23" s="8"/>
      <c r="SML23" s="8"/>
      <c r="SMM23" s="8"/>
      <c r="SMN23" s="28"/>
      <c r="SMO23" s="7"/>
      <c r="SMP23" s="8"/>
      <c r="SMQ23" s="7"/>
      <c r="SMR23" s="7"/>
      <c r="SMS23" s="6"/>
      <c r="SMT23" s="7"/>
      <c r="SMU23" s="8"/>
      <c r="SMV23" s="6"/>
      <c r="SMW23" s="8"/>
      <c r="SMX23" s="6"/>
      <c r="SMY23" s="8"/>
      <c r="SMZ23" s="8"/>
      <c r="SNA23" s="6"/>
      <c r="SNB23" s="6"/>
      <c r="SNC23" s="8"/>
      <c r="SND23" s="8"/>
      <c r="SNE23" s="8"/>
      <c r="SNF23" s="28"/>
      <c r="SNG23" s="7"/>
      <c r="SNH23" s="8"/>
      <c r="SNI23" s="7"/>
      <c r="SNJ23" s="7"/>
      <c r="SNK23" s="6"/>
      <c r="SNL23" s="7"/>
      <c r="SNM23" s="8"/>
      <c r="SNN23" s="6"/>
      <c r="SNO23" s="8"/>
      <c r="SNP23" s="6"/>
      <c r="SNQ23" s="8"/>
      <c r="SNR23" s="8"/>
      <c r="SNS23" s="6"/>
      <c r="SNT23" s="6"/>
      <c r="SNU23" s="8"/>
      <c r="SNV23" s="8"/>
      <c r="SNW23" s="8"/>
      <c r="SNX23" s="28"/>
      <c r="SNY23" s="7"/>
      <c r="SNZ23" s="8"/>
      <c r="SOA23" s="7"/>
      <c r="SOB23" s="7"/>
      <c r="SOC23" s="6"/>
      <c r="SOD23" s="7"/>
      <c r="SOE23" s="8"/>
      <c r="SOF23" s="6"/>
      <c r="SOG23" s="8"/>
      <c r="SOH23" s="6"/>
      <c r="SOI23" s="8"/>
      <c r="SOJ23" s="8"/>
      <c r="SOK23" s="6"/>
      <c r="SOL23" s="6"/>
      <c r="SOM23" s="8"/>
      <c r="SON23" s="8"/>
      <c r="SOO23" s="8"/>
      <c r="SOP23" s="28"/>
      <c r="SOQ23" s="7"/>
      <c r="SOR23" s="8"/>
      <c r="SOS23" s="7"/>
      <c r="SOT23" s="7"/>
      <c r="SOU23" s="6"/>
      <c r="SOV23" s="7"/>
      <c r="SOW23" s="8"/>
      <c r="SOX23" s="6"/>
      <c r="SOY23" s="8"/>
      <c r="SOZ23" s="6"/>
      <c r="SPA23" s="8"/>
      <c r="SPB23" s="8"/>
      <c r="SPC23" s="6"/>
      <c r="SPD23" s="6"/>
      <c r="SPE23" s="8"/>
      <c r="SPF23" s="8"/>
      <c r="SPG23" s="8"/>
      <c r="SPH23" s="28"/>
      <c r="SPI23" s="7"/>
      <c r="SPJ23" s="8"/>
      <c r="SPK23" s="7"/>
      <c r="SPL23" s="7"/>
      <c r="SPM23" s="6"/>
      <c r="SPN23" s="7"/>
      <c r="SPO23" s="8"/>
      <c r="SPP23" s="6"/>
      <c r="SPQ23" s="8"/>
      <c r="SPR23" s="6"/>
      <c r="SPS23" s="8"/>
      <c r="SPT23" s="8"/>
      <c r="SPU23" s="6"/>
      <c r="SPV23" s="6"/>
      <c r="SPW23" s="8"/>
      <c r="SPX23" s="8"/>
      <c r="SPY23" s="8"/>
      <c r="SPZ23" s="28"/>
      <c r="SQA23" s="7"/>
      <c r="SQB23" s="8"/>
      <c r="SQC23" s="7"/>
      <c r="SQD23" s="7"/>
      <c r="SQE23" s="6"/>
      <c r="SQF23" s="7"/>
      <c r="SQG23" s="8"/>
      <c r="SQH23" s="6"/>
      <c r="SQI23" s="8"/>
      <c r="SQJ23" s="6"/>
      <c r="SQK23" s="8"/>
      <c r="SQL23" s="8"/>
      <c r="SQM23" s="6"/>
      <c r="SQN23" s="6"/>
      <c r="SQO23" s="8"/>
      <c r="SQP23" s="8"/>
      <c r="SQQ23" s="8"/>
      <c r="SQR23" s="28"/>
      <c r="SQS23" s="7"/>
      <c r="SQT23" s="8"/>
      <c r="SQU23" s="7"/>
      <c r="SQV23" s="7"/>
      <c r="SQW23" s="6"/>
      <c r="SQX23" s="7"/>
      <c r="SQY23" s="8"/>
      <c r="SQZ23" s="6"/>
      <c r="SRA23" s="8"/>
      <c r="SRB23" s="6"/>
      <c r="SRC23" s="8"/>
      <c r="SRD23" s="8"/>
      <c r="SRE23" s="6"/>
      <c r="SRF23" s="6"/>
      <c r="SRG23" s="8"/>
      <c r="SRH23" s="8"/>
      <c r="SRI23" s="8"/>
      <c r="SRJ23" s="28"/>
      <c r="SRK23" s="7"/>
      <c r="SRL23" s="8"/>
      <c r="SRM23" s="7"/>
      <c r="SRN23" s="7"/>
      <c r="SRO23" s="6"/>
      <c r="SRP23" s="7"/>
      <c r="SRQ23" s="8"/>
      <c r="SRR23" s="6"/>
      <c r="SRS23" s="8"/>
      <c r="SRT23" s="6"/>
      <c r="SRU23" s="8"/>
      <c r="SRV23" s="8"/>
      <c r="SRW23" s="6"/>
      <c r="SRX23" s="6"/>
      <c r="SRY23" s="8"/>
      <c r="SRZ23" s="8"/>
      <c r="SSA23" s="8"/>
      <c r="SSB23" s="28"/>
      <c r="SSC23" s="7"/>
      <c r="SSD23" s="8"/>
      <c r="SSE23" s="7"/>
      <c r="SSF23" s="7"/>
      <c r="SSG23" s="6"/>
      <c r="SSH23" s="7"/>
      <c r="SSI23" s="8"/>
      <c r="SSJ23" s="6"/>
      <c r="SSK23" s="8"/>
      <c r="SSL23" s="6"/>
      <c r="SSM23" s="8"/>
      <c r="SSN23" s="8"/>
      <c r="SSO23" s="6"/>
      <c r="SSP23" s="6"/>
      <c r="SSQ23" s="8"/>
      <c r="SSR23" s="8"/>
      <c r="SSS23" s="8"/>
      <c r="SST23" s="28"/>
      <c r="SSU23" s="7"/>
      <c r="SSV23" s="8"/>
      <c r="SSW23" s="7"/>
      <c r="SSX23" s="7"/>
      <c r="SSY23" s="6"/>
      <c r="SSZ23" s="7"/>
      <c r="STA23" s="8"/>
      <c r="STB23" s="6"/>
      <c r="STC23" s="8"/>
      <c r="STD23" s="6"/>
      <c r="STE23" s="8"/>
      <c r="STF23" s="8"/>
      <c r="STG23" s="6"/>
      <c r="STH23" s="6"/>
      <c r="STI23" s="8"/>
      <c r="STJ23" s="8"/>
      <c r="STK23" s="8"/>
      <c r="STL23" s="28"/>
      <c r="STM23" s="7"/>
      <c r="STN23" s="8"/>
      <c r="STO23" s="7"/>
      <c r="STP23" s="7"/>
      <c r="STQ23" s="6"/>
      <c r="STR23" s="7"/>
      <c r="STS23" s="8"/>
      <c r="STT23" s="6"/>
      <c r="STU23" s="8"/>
      <c r="STV23" s="6"/>
      <c r="STW23" s="8"/>
      <c r="STX23" s="8"/>
      <c r="STY23" s="6"/>
      <c r="STZ23" s="6"/>
      <c r="SUA23" s="8"/>
      <c r="SUB23" s="8"/>
      <c r="SUC23" s="8"/>
      <c r="SUD23" s="28"/>
      <c r="SUE23" s="7"/>
      <c r="SUF23" s="8"/>
      <c r="SUG23" s="7"/>
      <c r="SUH23" s="7"/>
      <c r="SUI23" s="6"/>
      <c r="SUJ23" s="7"/>
      <c r="SUK23" s="8"/>
      <c r="SUL23" s="6"/>
      <c r="SUM23" s="8"/>
      <c r="SUN23" s="6"/>
      <c r="SUO23" s="8"/>
      <c r="SUP23" s="8"/>
      <c r="SUQ23" s="6"/>
      <c r="SUR23" s="6"/>
      <c r="SUS23" s="8"/>
      <c r="SUT23" s="8"/>
      <c r="SUU23" s="8"/>
      <c r="SUV23" s="28"/>
      <c r="SUW23" s="7"/>
      <c r="SUX23" s="8"/>
      <c r="SUY23" s="7"/>
      <c r="SUZ23" s="7"/>
      <c r="SVA23" s="6"/>
      <c r="SVB23" s="7"/>
      <c r="SVC23" s="8"/>
      <c r="SVD23" s="6"/>
      <c r="SVE23" s="8"/>
      <c r="SVF23" s="6"/>
      <c r="SVG23" s="8"/>
      <c r="SVH23" s="8"/>
      <c r="SVI23" s="6"/>
      <c r="SVJ23" s="6"/>
      <c r="SVK23" s="8"/>
      <c r="SVL23" s="8"/>
      <c r="SVM23" s="8"/>
      <c r="SVN23" s="28"/>
      <c r="SVO23" s="7"/>
      <c r="SVP23" s="8"/>
      <c r="SVQ23" s="7"/>
      <c r="SVR23" s="7"/>
      <c r="SVS23" s="6"/>
      <c r="SVT23" s="7"/>
      <c r="SVU23" s="8"/>
      <c r="SVV23" s="6"/>
      <c r="SVW23" s="8"/>
      <c r="SVX23" s="6"/>
      <c r="SVY23" s="8"/>
      <c r="SVZ23" s="8"/>
      <c r="SWA23" s="6"/>
      <c r="SWB23" s="6"/>
      <c r="SWC23" s="8"/>
      <c r="SWD23" s="8"/>
      <c r="SWE23" s="8"/>
      <c r="SWF23" s="28"/>
      <c r="SWG23" s="7"/>
      <c r="SWH23" s="8"/>
      <c r="SWI23" s="7"/>
      <c r="SWJ23" s="7"/>
      <c r="SWK23" s="6"/>
      <c r="SWL23" s="7"/>
      <c r="SWM23" s="8"/>
      <c r="SWN23" s="6"/>
      <c r="SWO23" s="8"/>
      <c r="SWP23" s="6"/>
      <c r="SWQ23" s="8"/>
      <c r="SWR23" s="8"/>
      <c r="SWS23" s="6"/>
      <c r="SWT23" s="6"/>
      <c r="SWU23" s="8"/>
      <c r="SWV23" s="8"/>
      <c r="SWW23" s="8"/>
      <c r="SWX23" s="28"/>
      <c r="SWY23" s="7"/>
      <c r="SWZ23" s="8"/>
      <c r="SXA23" s="7"/>
      <c r="SXB23" s="7"/>
      <c r="SXC23" s="6"/>
      <c r="SXD23" s="7"/>
      <c r="SXE23" s="8"/>
      <c r="SXF23" s="6"/>
      <c r="SXG23" s="8"/>
      <c r="SXH23" s="6"/>
      <c r="SXI23" s="8"/>
      <c r="SXJ23" s="8"/>
      <c r="SXK23" s="6"/>
      <c r="SXL23" s="6"/>
      <c r="SXM23" s="8"/>
      <c r="SXN23" s="8"/>
      <c r="SXO23" s="8"/>
      <c r="SXP23" s="28"/>
      <c r="SXQ23" s="7"/>
      <c r="SXR23" s="8"/>
      <c r="SXS23" s="7"/>
      <c r="SXT23" s="7"/>
      <c r="SXU23" s="6"/>
      <c r="SXV23" s="7"/>
      <c r="SXW23" s="8"/>
      <c r="SXX23" s="6"/>
      <c r="SXY23" s="8"/>
      <c r="SXZ23" s="6"/>
      <c r="SYA23" s="8"/>
      <c r="SYB23" s="8"/>
      <c r="SYC23" s="6"/>
      <c r="SYD23" s="6"/>
      <c r="SYE23" s="8"/>
      <c r="SYF23" s="8"/>
      <c r="SYG23" s="8"/>
      <c r="SYH23" s="28"/>
      <c r="SYI23" s="7"/>
      <c r="SYJ23" s="8"/>
      <c r="SYK23" s="7"/>
      <c r="SYL23" s="7"/>
      <c r="SYM23" s="6"/>
      <c r="SYN23" s="7"/>
      <c r="SYO23" s="8"/>
      <c r="SYP23" s="6"/>
      <c r="SYQ23" s="8"/>
      <c r="SYR23" s="6"/>
      <c r="SYS23" s="8"/>
      <c r="SYT23" s="8"/>
      <c r="SYU23" s="6"/>
      <c r="SYV23" s="6"/>
      <c r="SYW23" s="8"/>
      <c r="SYX23" s="8"/>
      <c r="SYY23" s="8"/>
      <c r="SYZ23" s="28"/>
      <c r="SZA23" s="7"/>
      <c r="SZB23" s="8"/>
      <c r="SZC23" s="7"/>
      <c r="SZD23" s="7"/>
      <c r="SZE23" s="6"/>
      <c r="SZF23" s="7"/>
      <c r="SZG23" s="8"/>
      <c r="SZH23" s="6"/>
      <c r="SZI23" s="8"/>
      <c r="SZJ23" s="6"/>
      <c r="SZK23" s="8"/>
      <c r="SZL23" s="8"/>
      <c r="SZM23" s="6"/>
      <c r="SZN23" s="6"/>
      <c r="SZO23" s="8"/>
      <c r="SZP23" s="8"/>
      <c r="SZQ23" s="8"/>
      <c r="SZR23" s="28"/>
      <c r="SZS23" s="7"/>
      <c r="SZT23" s="8"/>
      <c r="SZU23" s="7"/>
      <c r="SZV23" s="7"/>
      <c r="SZW23" s="6"/>
      <c r="SZX23" s="7"/>
      <c r="SZY23" s="8"/>
      <c r="SZZ23" s="6"/>
      <c r="TAA23" s="8"/>
      <c r="TAB23" s="6"/>
      <c r="TAC23" s="8"/>
      <c r="TAD23" s="8"/>
      <c r="TAE23" s="6"/>
      <c r="TAF23" s="6"/>
      <c r="TAG23" s="8"/>
      <c r="TAH23" s="8"/>
      <c r="TAI23" s="8"/>
      <c r="TAJ23" s="28"/>
      <c r="TAK23" s="7"/>
      <c r="TAL23" s="8"/>
      <c r="TAM23" s="7"/>
      <c r="TAN23" s="7"/>
      <c r="TAO23" s="6"/>
      <c r="TAP23" s="7"/>
      <c r="TAQ23" s="8"/>
      <c r="TAR23" s="6"/>
      <c r="TAS23" s="8"/>
      <c r="TAT23" s="6"/>
      <c r="TAU23" s="8"/>
      <c r="TAV23" s="8"/>
      <c r="TAW23" s="6"/>
      <c r="TAX23" s="6"/>
      <c r="TAY23" s="8"/>
      <c r="TAZ23" s="8"/>
      <c r="TBA23" s="8"/>
      <c r="TBB23" s="28"/>
      <c r="TBC23" s="7"/>
      <c r="TBD23" s="8"/>
      <c r="TBE23" s="7"/>
      <c r="TBF23" s="7"/>
      <c r="TBG23" s="6"/>
      <c r="TBH23" s="7"/>
      <c r="TBI23" s="8"/>
      <c r="TBJ23" s="6"/>
      <c r="TBK23" s="8"/>
      <c r="TBL23" s="6"/>
      <c r="TBM23" s="8"/>
      <c r="TBN23" s="8"/>
      <c r="TBO23" s="6"/>
      <c r="TBP23" s="6"/>
      <c r="TBQ23" s="8"/>
      <c r="TBR23" s="8"/>
      <c r="TBS23" s="8"/>
      <c r="TBT23" s="28"/>
      <c r="TBU23" s="7"/>
      <c r="TBV23" s="8"/>
      <c r="TBW23" s="7"/>
      <c r="TBX23" s="7"/>
      <c r="TBY23" s="6"/>
      <c r="TBZ23" s="7"/>
      <c r="TCA23" s="8"/>
      <c r="TCB23" s="6"/>
      <c r="TCC23" s="8"/>
      <c r="TCD23" s="6"/>
      <c r="TCE23" s="8"/>
      <c r="TCF23" s="8"/>
      <c r="TCG23" s="6"/>
      <c r="TCH23" s="6"/>
      <c r="TCI23" s="8"/>
      <c r="TCJ23" s="8"/>
      <c r="TCK23" s="8"/>
      <c r="TCL23" s="28"/>
      <c r="TCM23" s="7"/>
      <c r="TCN23" s="8"/>
      <c r="TCO23" s="7"/>
      <c r="TCP23" s="7"/>
      <c r="TCQ23" s="6"/>
      <c r="TCR23" s="7"/>
      <c r="TCS23" s="8"/>
      <c r="TCT23" s="6"/>
      <c r="TCU23" s="8"/>
      <c r="TCV23" s="6"/>
      <c r="TCW23" s="8"/>
      <c r="TCX23" s="8"/>
      <c r="TCY23" s="6"/>
      <c r="TCZ23" s="6"/>
      <c r="TDA23" s="8"/>
      <c r="TDB23" s="8"/>
      <c r="TDC23" s="8"/>
      <c r="TDD23" s="28"/>
      <c r="TDE23" s="7"/>
      <c r="TDF23" s="8"/>
      <c r="TDG23" s="7"/>
      <c r="TDH23" s="7"/>
      <c r="TDI23" s="6"/>
      <c r="TDJ23" s="7"/>
      <c r="TDK23" s="8"/>
      <c r="TDL23" s="6"/>
      <c r="TDM23" s="8"/>
      <c r="TDN23" s="6"/>
      <c r="TDO23" s="8"/>
      <c r="TDP23" s="8"/>
      <c r="TDQ23" s="6"/>
      <c r="TDR23" s="6"/>
      <c r="TDS23" s="8"/>
      <c r="TDT23" s="8"/>
      <c r="TDU23" s="8"/>
      <c r="TDV23" s="28"/>
      <c r="TDW23" s="7"/>
      <c r="TDX23" s="8"/>
      <c r="TDY23" s="7"/>
      <c r="TDZ23" s="7"/>
      <c r="TEA23" s="6"/>
      <c r="TEB23" s="7"/>
      <c r="TEC23" s="8"/>
      <c r="TED23" s="6"/>
      <c r="TEE23" s="8"/>
      <c r="TEF23" s="6"/>
      <c r="TEG23" s="8"/>
      <c r="TEH23" s="8"/>
      <c r="TEI23" s="6"/>
      <c r="TEJ23" s="6"/>
      <c r="TEK23" s="8"/>
      <c r="TEL23" s="8"/>
      <c r="TEM23" s="8"/>
      <c r="TEN23" s="28"/>
      <c r="TEO23" s="7"/>
      <c r="TEP23" s="8"/>
      <c r="TEQ23" s="7"/>
      <c r="TER23" s="7"/>
      <c r="TES23" s="6"/>
      <c r="TET23" s="7"/>
      <c r="TEU23" s="8"/>
      <c r="TEV23" s="6"/>
      <c r="TEW23" s="8"/>
      <c r="TEX23" s="6"/>
      <c r="TEY23" s="8"/>
      <c r="TEZ23" s="8"/>
      <c r="TFA23" s="6"/>
      <c r="TFB23" s="6"/>
      <c r="TFC23" s="8"/>
      <c r="TFD23" s="8"/>
      <c r="TFE23" s="8"/>
      <c r="TFF23" s="28"/>
      <c r="TFG23" s="7"/>
      <c r="TFH23" s="8"/>
      <c r="TFI23" s="7"/>
      <c r="TFJ23" s="7"/>
      <c r="TFK23" s="6"/>
      <c r="TFL23" s="7"/>
      <c r="TFM23" s="8"/>
      <c r="TFN23" s="6"/>
      <c r="TFO23" s="8"/>
      <c r="TFP23" s="6"/>
      <c r="TFQ23" s="8"/>
      <c r="TFR23" s="8"/>
      <c r="TFS23" s="6"/>
      <c r="TFT23" s="6"/>
      <c r="TFU23" s="8"/>
      <c r="TFV23" s="8"/>
      <c r="TFW23" s="8"/>
      <c r="TFX23" s="28"/>
      <c r="TFY23" s="7"/>
      <c r="TFZ23" s="8"/>
      <c r="TGA23" s="7"/>
      <c r="TGB23" s="7"/>
      <c r="TGC23" s="6"/>
      <c r="TGD23" s="7"/>
      <c r="TGE23" s="8"/>
      <c r="TGF23" s="6"/>
      <c r="TGG23" s="8"/>
      <c r="TGH23" s="6"/>
      <c r="TGI23" s="8"/>
      <c r="TGJ23" s="8"/>
      <c r="TGK23" s="6"/>
      <c r="TGL23" s="6"/>
      <c r="TGM23" s="8"/>
      <c r="TGN23" s="8"/>
      <c r="TGO23" s="8"/>
      <c r="TGP23" s="28"/>
      <c r="TGQ23" s="7"/>
      <c r="TGR23" s="8"/>
      <c r="TGS23" s="7"/>
      <c r="TGT23" s="7"/>
      <c r="TGU23" s="6"/>
      <c r="TGV23" s="7"/>
      <c r="TGW23" s="8"/>
      <c r="TGX23" s="6"/>
      <c r="TGY23" s="8"/>
      <c r="TGZ23" s="6"/>
      <c r="THA23" s="8"/>
      <c r="THB23" s="8"/>
      <c r="THC23" s="6"/>
      <c r="THD23" s="6"/>
      <c r="THE23" s="8"/>
      <c r="THF23" s="8"/>
      <c r="THG23" s="8"/>
      <c r="THH23" s="28"/>
      <c r="THI23" s="7"/>
      <c r="THJ23" s="8"/>
      <c r="THK23" s="7"/>
      <c r="THL23" s="7"/>
      <c r="THM23" s="6"/>
      <c r="THN23" s="7"/>
      <c r="THO23" s="8"/>
      <c r="THP23" s="6"/>
      <c r="THQ23" s="8"/>
      <c r="THR23" s="6"/>
      <c r="THS23" s="8"/>
      <c r="THT23" s="8"/>
      <c r="THU23" s="6"/>
      <c r="THV23" s="6"/>
      <c r="THW23" s="8"/>
      <c r="THX23" s="8"/>
      <c r="THY23" s="8"/>
      <c r="THZ23" s="28"/>
      <c r="TIA23" s="7"/>
      <c r="TIB23" s="8"/>
      <c r="TIC23" s="7"/>
      <c r="TID23" s="7"/>
      <c r="TIE23" s="6"/>
      <c r="TIF23" s="7"/>
      <c r="TIG23" s="8"/>
      <c r="TIH23" s="6"/>
      <c r="TII23" s="8"/>
      <c r="TIJ23" s="6"/>
      <c r="TIK23" s="8"/>
      <c r="TIL23" s="8"/>
      <c r="TIM23" s="6"/>
      <c r="TIN23" s="6"/>
      <c r="TIO23" s="8"/>
      <c r="TIP23" s="8"/>
      <c r="TIQ23" s="8"/>
      <c r="TIR23" s="28"/>
      <c r="TIS23" s="7"/>
      <c r="TIT23" s="8"/>
      <c r="TIU23" s="7"/>
      <c r="TIV23" s="7"/>
      <c r="TIW23" s="6"/>
      <c r="TIX23" s="7"/>
      <c r="TIY23" s="8"/>
      <c r="TIZ23" s="6"/>
      <c r="TJA23" s="8"/>
      <c r="TJB23" s="6"/>
      <c r="TJC23" s="8"/>
      <c r="TJD23" s="8"/>
      <c r="TJE23" s="6"/>
      <c r="TJF23" s="6"/>
      <c r="TJG23" s="8"/>
      <c r="TJH23" s="8"/>
      <c r="TJI23" s="8"/>
      <c r="TJJ23" s="28"/>
      <c r="TJK23" s="7"/>
      <c r="TJL23" s="8"/>
      <c r="TJM23" s="7"/>
      <c r="TJN23" s="7"/>
      <c r="TJO23" s="6"/>
      <c r="TJP23" s="7"/>
      <c r="TJQ23" s="8"/>
      <c r="TJR23" s="6"/>
      <c r="TJS23" s="8"/>
      <c r="TJT23" s="6"/>
      <c r="TJU23" s="8"/>
      <c r="TJV23" s="8"/>
      <c r="TJW23" s="6"/>
      <c r="TJX23" s="6"/>
      <c r="TJY23" s="8"/>
      <c r="TJZ23" s="8"/>
      <c r="TKA23" s="8"/>
      <c r="TKB23" s="28"/>
      <c r="TKC23" s="7"/>
      <c r="TKD23" s="8"/>
      <c r="TKE23" s="7"/>
      <c r="TKF23" s="7"/>
      <c r="TKG23" s="6"/>
      <c r="TKH23" s="7"/>
      <c r="TKI23" s="8"/>
      <c r="TKJ23" s="6"/>
      <c r="TKK23" s="8"/>
      <c r="TKL23" s="6"/>
      <c r="TKM23" s="8"/>
      <c r="TKN23" s="8"/>
      <c r="TKO23" s="6"/>
      <c r="TKP23" s="6"/>
      <c r="TKQ23" s="8"/>
      <c r="TKR23" s="8"/>
      <c r="TKS23" s="8"/>
      <c r="TKT23" s="28"/>
      <c r="TKU23" s="7"/>
      <c r="TKV23" s="8"/>
      <c r="TKW23" s="7"/>
      <c r="TKX23" s="7"/>
      <c r="TKY23" s="6"/>
      <c r="TKZ23" s="7"/>
      <c r="TLA23" s="8"/>
      <c r="TLB23" s="6"/>
      <c r="TLC23" s="8"/>
      <c r="TLD23" s="6"/>
      <c r="TLE23" s="8"/>
      <c r="TLF23" s="8"/>
      <c r="TLG23" s="6"/>
      <c r="TLH23" s="6"/>
      <c r="TLI23" s="8"/>
      <c r="TLJ23" s="8"/>
      <c r="TLK23" s="8"/>
      <c r="TLL23" s="28"/>
      <c r="TLM23" s="7"/>
      <c r="TLN23" s="8"/>
      <c r="TLO23" s="7"/>
      <c r="TLP23" s="7"/>
      <c r="TLQ23" s="6"/>
      <c r="TLR23" s="7"/>
      <c r="TLS23" s="8"/>
      <c r="TLT23" s="6"/>
      <c r="TLU23" s="8"/>
      <c r="TLV23" s="6"/>
      <c r="TLW23" s="8"/>
      <c r="TLX23" s="8"/>
      <c r="TLY23" s="6"/>
      <c r="TLZ23" s="6"/>
      <c r="TMA23" s="8"/>
      <c r="TMB23" s="8"/>
      <c r="TMC23" s="8"/>
      <c r="TMD23" s="28"/>
      <c r="TME23" s="7"/>
      <c r="TMF23" s="8"/>
      <c r="TMG23" s="7"/>
      <c r="TMH23" s="7"/>
      <c r="TMI23" s="6"/>
      <c r="TMJ23" s="7"/>
      <c r="TMK23" s="8"/>
      <c r="TML23" s="6"/>
      <c r="TMM23" s="8"/>
      <c r="TMN23" s="6"/>
      <c r="TMO23" s="8"/>
      <c r="TMP23" s="8"/>
      <c r="TMQ23" s="6"/>
      <c r="TMR23" s="6"/>
      <c r="TMS23" s="8"/>
      <c r="TMT23" s="8"/>
      <c r="TMU23" s="8"/>
      <c r="TMV23" s="28"/>
      <c r="TMW23" s="7"/>
      <c r="TMX23" s="8"/>
      <c r="TMY23" s="7"/>
      <c r="TMZ23" s="7"/>
      <c r="TNA23" s="6"/>
      <c r="TNB23" s="7"/>
      <c r="TNC23" s="8"/>
      <c r="TND23" s="6"/>
      <c r="TNE23" s="8"/>
      <c r="TNF23" s="6"/>
      <c r="TNG23" s="8"/>
      <c r="TNH23" s="8"/>
      <c r="TNI23" s="6"/>
      <c r="TNJ23" s="6"/>
      <c r="TNK23" s="8"/>
      <c r="TNL23" s="8"/>
      <c r="TNM23" s="8"/>
      <c r="TNN23" s="28"/>
      <c r="TNO23" s="7"/>
      <c r="TNP23" s="8"/>
      <c r="TNQ23" s="7"/>
      <c r="TNR23" s="7"/>
      <c r="TNS23" s="6"/>
      <c r="TNT23" s="7"/>
      <c r="TNU23" s="8"/>
      <c r="TNV23" s="6"/>
      <c r="TNW23" s="8"/>
      <c r="TNX23" s="6"/>
      <c r="TNY23" s="8"/>
      <c r="TNZ23" s="8"/>
      <c r="TOA23" s="6"/>
      <c r="TOB23" s="6"/>
      <c r="TOC23" s="8"/>
      <c r="TOD23" s="8"/>
      <c r="TOE23" s="8"/>
      <c r="TOF23" s="28"/>
      <c r="TOG23" s="7"/>
      <c r="TOH23" s="8"/>
      <c r="TOI23" s="7"/>
      <c r="TOJ23" s="7"/>
      <c r="TOK23" s="6"/>
      <c r="TOL23" s="7"/>
      <c r="TOM23" s="8"/>
      <c r="TON23" s="6"/>
      <c r="TOO23" s="8"/>
      <c r="TOP23" s="6"/>
      <c r="TOQ23" s="8"/>
      <c r="TOR23" s="8"/>
      <c r="TOS23" s="6"/>
      <c r="TOT23" s="6"/>
      <c r="TOU23" s="8"/>
      <c r="TOV23" s="8"/>
      <c r="TOW23" s="8"/>
      <c r="TOX23" s="28"/>
      <c r="TOY23" s="7"/>
      <c r="TOZ23" s="8"/>
      <c r="TPA23" s="7"/>
      <c r="TPB23" s="7"/>
      <c r="TPC23" s="6"/>
      <c r="TPD23" s="7"/>
      <c r="TPE23" s="8"/>
      <c r="TPF23" s="6"/>
      <c r="TPG23" s="8"/>
      <c r="TPH23" s="6"/>
      <c r="TPI23" s="8"/>
      <c r="TPJ23" s="8"/>
      <c r="TPK23" s="6"/>
      <c r="TPL23" s="6"/>
      <c r="TPM23" s="8"/>
      <c r="TPN23" s="8"/>
      <c r="TPO23" s="8"/>
      <c r="TPP23" s="28"/>
      <c r="TPQ23" s="7"/>
      <c r="TPR23" s="8"/>
      <c r="TPS23" s="7"/>
      <c r="TPT23" s="7"/>
      <c r="TPU23" s="6"/>
      <c r="TPV23" s="7"/>
      <c r="TPW23" s="8"/>
      <c r="TPX23" s="6"/>
      <c r="TPY23" s="8"/>
      <c r="TPZ23" s="6"/>
      <c r="TQA23" s="8"/>
      <c r="TQB23" s="8"/>
      <c r="TQC23" s="6"/>
      <c r="TQD23" s="6"/>
      <c r="TQE23" s="8"/>
      <c r="TQF23" s="8"/>
      <c r="TQG23" s="8"/>
      <c r="TQH23" s="28"/>
      <c r="TQI23" s="7"/>
      <c r="TQJ23" s="8"/>
      <c r="TQK23" s="7"/>
      <c r="TQL23" s="7"/>
      <c r="TQM23" s="6"/>
      <c r="TQN23" s="7"/>
      <c r="TQO23" s="8"/>
      <c r="TQP23" s="6"/>
      <c r="TQQ23" s="8"/>
      <c r="TQR23" s="6"/>
      <c r="TQS23" s="8"/>
      <c r="TQT23" s="8"/>
      <c r="TQU23" s="6"/>
      <c r="TQV23" s="6"/>
      <c r="TQW23" s="8"/>
      <c r="TQX23" s="8"/>
      <c r="TQY23" s="8"/>
      <c r="TQZ23" s="28"/>
      <c r="TRA23" s="7"/>
      <c r="TRB23" s="8"/>
      <c r="TRC23" s="7"/>
      <c r="TRD23" s="7"/>
      <c r="TRE23" s="6"/>
      <c r="TRF23" s="7"/>
      <c r="TRG23" s="8"/>
      <c r="TRH23" s="6"/>
      <c r="TRI23" s="8"/>
      <c r="TRJ23" s="6"/>
      <c r="TRK23" s="8"/>
      <c r="TRL23" s="8"/>
      <c r="TRM23" s="6"/>
      <c r="TRN23" s="6"/>
      <c r="TRO23" s="8"/>
      <c r="TRP23" s="8"/>
      <c r="TRQ23" s="8"/>
      <c r="TRR23" s="28"/>
      <c r="TRS23" s="7"/>
      <c r="TRT23" s="8"/>
      <c r="TRU23" s="7"/>
      <c r="TRV23" s="7"/>
      <c r="TRW23" s="6"/>
      <c r="TRX23" s="7"/>
      <c r="TRY23" s="8"/>
      <c r="TRZ23" s="6"/>
      <c r="TSA23" s="8"/>
      <c r="TSB23" s="6"/>
      <c r="TSC23" s="8"/>
      <c r="TSD23" s="8"/>
      <c r="TSE23" s="6"/>
      <c r="TSF23" s="6"/>
      <c r="TSG23" s="8"/>
      <c r="TSH23" s="8"/>
      <c r="TSI23" s="8"/>
      <c r="TSJ23" s="28"/>
      <c r="TSK23" s="7"/>
      <c r="TSL23" s="8"/>
      <c r="TSM23" s="7"/>
      <c r="TSN23" s="7"/>
      <c r="TSO23" s="6"/>
      <c r="TSP23" s="7"/>
      <c r="TSQ23" s="8"/>
      <c r="TSR23" s="6"/>
      <c r="TSS23" s="8"/>
      <c r="TST23" s="6"/>
      <c r="TSU23" s="8"/>
      <c r="TSV23" s="8"/>
      <c r="TSW23" s="6"/>
      <c r="TSX23" s="6"/>
      <c r="TSY23" s="8"/>
      <c r="TSZ23" s="8"/>
      <c r="TTA23" s="8"/>
      <c r="TTB23" s="28"/>
      <c r="TTC23" s="7"/>
      <c r="TTD23" s="8"/>
      <c r="TTE23" s="7"/>
      <c r="TTF23" s="7"/>
      <c r="TTG23" s="6"/>
      <c r="TTH23" s="7"/>
      <c r="TTI23" s="8"/>
      <c r="TTJ23" s="6"/>
      <c r="TTK23" s="8"/>
      <c r="TTL23" s="6"/>
      <c r="TTM23" s="8"/>
      <c r="TTN23" s="8"/>
      <c r="TTO23" s="6"/>
      <c r="TTP23" s="6"/>
      <c r="TTQ23" s="8"/>
      <c r="TTR23" s="8"/>
      <c r="TTS23" s="8"/>
      <c r="TTT23" s="28"/>
      <c r="TTU23" s="7"/>
      <c r="TTV23" s="8"/>
      <c r="TTW23" s="7"/>
      <c r="TTX23" s="7"/>
      <c r="TTY23" s="6"/>
      <c r="TTZ23" s="7"/>
      <c r="TUA23" s="8"/>
      <c r="TUB23" s="6"/>
      <c r="TUC23" s="8"/>
      <c r="TUD23" s="6"/>
      <c r="TUE23" s="8"/>
      <c r="TUF23" s="8"/>
      <c r="TUG23" s="6"/>
      <c r="TUH23" s="6"/>
      <c r="TUI23" s="8"/>
      <c r="TUJ23" s="8"/>
      <c r="TUK23" s="8"/>
      <c r="TUL23" s="28"/>
      <c r="TUM23" s="7"/>
      <c r="TUN23" s="8"/>
      <c r="TUO23" s="7"/>
      <c r="TUP23" s="7"/>
      <c r="TUQ23" s="6"/>
      <c r="TUR23" s="7"/>
      <c r="TUS23" s="8"/>
      <c r="TUT23" s="6"/>
      <c r="TUU23" s="8"/>
      <c r="TUV23" s="6"/>
      <c r="TUW23" s="8"/>
      <c r="TUX23" s="8"/>
      <c r="TUY23" s="6"/>
      <c r="TUZ23" s="6"/>
      <c r="TVA23" s="8"/>
      <c r="TVB23" s="8"/>
      <c r="TVC23" s="8"/>
      <c r="TVD23" s="28"/>
      <c r="TVE23" s="7"/>
      <c r="TVF23" s="8"/>
      <c r="TVG23" s="7"/>
      <c r="TVH23" s="7"/>
      <c r="TVI23" s="6"/>
      <c r="TVJ23" s="7"/>
      <c r="TVK23" s="8"/>
      <c r="TVL23" s="6"/>
      <c r="TVM23" s="8"/>
      <c r="TVN23" s="6"/>
      <c r="TVO23" s="8"/>
      <c r="TVP23" s="8"/>
      <c r="TVQ23" s="6"/>
      <c r="TVR23" s="6"/>
      <c r="TVS23" s="8"/>
      <c r="TVT23" s="8"/>
      <c r="TVU23" s="8"/>
      <c r="TVV23" s="28"/>
      <c r="TVW23" s="7"/>
      <c r="TVX23" s="8"/>
      <c r="TVY23" s="7"/>
      <c r="TVZ23" s="7"/>
      <c r="TWA23" s="6"/>
      <c r="TWB23" s="7"/>
      <c r="TWC23" s="8"/>
      <c r="TWD23" s="6"/>
      <c r="TWE23" s="8"/>
      <c r="TWF23" s="6"/>
      <c r="TWG23" s="8"/>
      <c r="TWH23" s="8"/>
      <c r="TWI23" s="6"/>
      <c r="TWJ23" s="6"/>
      <c r="TWK23" s="8"/>
      <c r="TWL23" s="8"/>
      <c r="TWM23" s="8"/>
      <c r="TWN23" s="28"/>
      <c r="TWO23" s="7"/>
      <c r="TWP23" s="8"/>
      <c r="TWQ23" s="7"/>
      <c r="TWR23" s="7"/>
      <c r="TWS23" s="6"/>
      <c r="TWT23" s="7"/>
      <c r="TWU23" s="8"/>
      <c r="TWV23" s="6"/>
      <c r="TWW23" s="8"/>
      <c r="TWX23" s="6"/>
      <c r="TWY23" s="8"/>
      <c r="TWZ23" s="8"/>
      <c r="TXA23" s="6"/>
      <c r="TXB23" s="6"/>
      <c r="TXC23" s="8"/>
      <c r="TXD23" s="8"/>
      <c r="TXE23" s="8"/>
      <c r="TXF23" s="28"/>
      <c r="TXG23" s="7"/>
      <c r="TXH23" s="8"/>
      <c r="TXI23" s="7"/>
      <c r="TXJ23" s="7"/>
      <c r="TXK23" s="6"/>
      <c r="TXL23" s="7"/>
      <c r="TXM23" s="8"/>
      <c r="TXN23" s="6"/>
      <c r="TXO23" s="8"/>
      <c r="TXP23" s="6"/>
      <c r="TXQ23" s="8"/>
      <c r="TXR23" s="8"/>
      <c r="TXS23" s="6"/>
      <c r="TXT23" s="6"/>
      <c r="TXU23" s="8"/>
      <c r="TXV23" s="8"/>
      <c r="TXW23" s="8"/>
      <c r="TXX23" s="28"/>
      <c r="TXY23" s="7"/>
      <c r="TXZ23" s="8"/>
      <c r="TYA23" s="7"/>
      <c r="TYB23" s="7"/>
      <c r="TYC23" s="6"/>
      <c r="TYD23" s="7"/>
      <c r="TYE23" s="8"/>
      <c r="TYF23" s="6"/>
      <c r="TYG23" s="8"/>
      <c r="TYH23" s="6"/>
      <c r="TYI23" s="8"/>
      <c r="TYJ23" s="8"/>
      <c r="TYK23" s="6"/>
      <c r="TYL23" s="6"/>
      <c r="TYM23" s="8"/>
      <c r="TYN23" s="8"/>
      <c r="TYO23" s="8"/>
      <c r="TYP23" s="28"/>
      <c r="TYQ23" s="7"/>
      <c r="TYR23" s="8"/>
      <c r="TYS23" s="7"/>
      <c r="TYT23" s="7"/>
      <c r="TYU23" s="6"/>
      <c r="TYV23" s="7"/>
      <c r="TYW23" s="8"/>
      <c r="TYX23" s="6"/>
      <c r="TYY23" s="8"/>
      <c r="TYZ23" s="6"/>
      <c r="TZA23" s="8"/>
      <c r="TZB23" s="8"/>
      <c r="TZC23" s="6"/>
      <c r="TZD23" s="6"/>
      <c r="TZE23" s="8"/>
      <c r="TZF23" s="8"/>
      <c r="TZG23" s="8"/>
      <c r="TZH23" s="28"/>
      <c r="TZI23" s="7"/>
      <c r="TZJ23" s="8"/>
      <c r="TZK23" s="7"/>
      <c r="TZL23" s="7"/>
      <c r="TZM23" s="6"/>
      <c r="TZN23" s="7"/>
      <c r="TZO23" s="8"/>
      <c r="TZP23" s="6"/>
      <c r="TZQ23" s="8"/>
      <c r="TZR23" s="6"/>
      <c r="TZS23" s="8"/>
      <c r="TZT23" s="8"/>
      <c r="TZU23" s="6"/>
      <c r="TZV23" s="6"/>
      <c r="TZW23" s="8"/>
      <c r="TZX23" s="8"/>
      <c r="TZY23" s="8"/>
      <c r="TZZ23" s="28"/>
      <c r="UAA23" s="7"/>
      <c r="UAB23" s="8"/>
      <c r="UAC23" s="7"/>
      <c r="UAD23" s="7"/>
      <c r="UAE23" s="6"/>
      <c r="UAF23" s="7"/>
      <c r="UAG23" s="8"/>
      <c r="UAH23" s="6"/>
      <c r="UAI23" s="8"/>
      <c r="UAJ23" s="6"/>
      <c r="UAK23" s="8"/>
      <c r="UAL23" s="8"/>
      <c r="UAM23" s="6"/>
      <c r="UAN23" s="6"/>
      <c r="UAO23" s="8"/>
      <c r="UAP23" s="8"/>
      <c r="UAQ23" s="8"/>
      <c r="UAR23" s="28"/>
      <c r="UAS23" s="7"/>
      <c r="UAT23" s="8"/>
      <c r="UAU23" s="7"/>
      <c r="UAV23" s="7"/>
      <c r="UAW23" s="6"/>
      <c r="UAX23" s="7"/>
      <c r="UAY23" s="8"/>
      <c r="UAZ23" s="6"/>
      <c r="UBA23" s="8"/>
      <c r="UBB23" s="6"/>
      <c r="UBC23" s="8"/>
      <c r="UBD23" s="8"/>
      <c r="UBE23" s="6"/>
      <c r="UBF23" s="6"/>
      <c r="UBG23" s="8"/>
      <c r="UBH23" s="8"/>
      <c r="UBI23" s="8"/>
      <c r="UBJ23" s="28"/>
      <c r="UBK23" s="7"/>
      <c r="UBL23" s="8"/>
      <c r="UBM23" s="7"/>
      <c r="UBN23" s="7"/>
      <c r="UBO23" s="6"/>
      <c r="UBP23" s="7"/>
      <c r="UBQ23" s="8"/>
      <c r="UBR23" s="6"/>
      <c r="UBS23" s="8"/>
      <c r="UBT23" s="6"/>
      <c r="UBU23" s="8"/>
      <c r="UBV23" s="8"/>
      <c r="UBW23" s="6"/>
      <c r="UBX23" s="6"/>
      <c r="UBY23" s="8"/>
      <c r="UBZ23" s="8"/>
      <c r="UCA23" s="8"/>
      <c r="UCB23" s="28"/>
      <c r="UCC23" s="7"/>
      <c r="UCD23" s="8"/>
      <c r="UCE23" s="7"/>
      <c r="UCF23" s="7"/>
      <c r="UCG23" s="6"/>
      <c r="UCH23" s="7"/>
      <c r="UCI23" s="8"/>
      <c r="UCJ23" s="6"/>
      <c r="UCK23" s="8"/>
      <c r="UCL23" s="6"/>
      <c r="UCM23" s="8"/>
      <c r="UCN23" s="8"/>
      <c r="UCO23" s="6"/>
      <c r="UCP23" s="6"/>
      <c r="UCQ23" s="8"/>
      <c r="UCR23" s="8"/>
      <c r="UCS23" s="8"/>
      <c r="UCT23" s="28"/>
      <c r="UCU23" s="7"/>
      <c r="UCV23" s="8"/>
      <c r="UCW23" s="7"/>
      <c r="UCX23" s="7"/>
      <c r="UCY23" s="6"/>
      <c r="UCZ23" s="7"/>
      <c r="UDA23" s="8"/>
      <c r="UDB23" s="6"/>
      <c r="UDC23" s="8"/>
      <c r="UDD23" s="6"/>
      <c r="UDE23" s="8"/>
      <c r="UDF23" s="8"/>
      <c r="UDG23" s="6"/>
      <c r="UDH23" s="6"/>
      <c r="UDI23" s="8"/>
      <c r="UDJ23" s="8"/>
      <c r="UDK23" s="8"/>
      <c r="UDL23" s="28"/>
      <c r="UDM23" s="7"/>
      <c r="UDN23" s="8"/>
      <c r="UDO23" s="7"/>
      <c r="UDP23" s="7"/>
      <c r="UDQ23" s="6"/>
      <c r="UDR23" s="7"/>
      <c r="UDS23" s="8"/>
      <c r="UDT23" s="6"/>
      <c r="UDU23" s="8"/>
      <c r="UDV23" s="6"/>
      <c r="UDW23" s="8"/>
      <c r="UDX23" s="8"/>
      <c r="UDY23" s="6"/>
      <c r="UDZ23" s="6"/>
      <c r="UEA23" s="8"/>
      <c r="UEB23" s="8"/>
      <c r="UEC23" s="8"/>
      <c r="UED23" s="28"/>
      <c r="UEE23" s="7"/>
      <c r="UEF23" s="8"/>
      <c r="UEG23" s="7"/>
      <c r="UEH23" s="7"/>
      <c r="UEI23" s="6"/>
      <c r="UEJ23" s="7"/>
      <c r="UEK23" s="8"/>
      <c r="UEL23" s="6"/>
      <c r="UEM23" s="8"/>
      <c r="UEN23" s="6"/>
      <c r="UEO23" s="8"/>
      <c r="UEP23" s="8"/>
      <c r="UEQ23" s="6"/>
      <c r="UER23" s="6"/>
      <c r="UES23" s="8"/>
      <c r="UET23" s="8"/>
      <c r="UEU23" s="8"/>
      <c r="UEV23" s="28"/>
      <c r="UEW23" s="7"/>
      <c r="UEX23" s="8"/>
      <c r="UEY23" s="7"/>
      <c r="UEZ23" s="7"/>
      <c r="UFA23" s="6"/>
      <c r="UFB23" s="7"/>
      <c r="UFC23" s="8"/>
      <c r="UFD23" s="6"/>
      <c r="UFE23" s="8"/>
      <c r="UFF23" s="6"/>
      <c r="UFG23" s="8"/>
      <c r="UFH23" s="8"/>
      <c r="UFI23" s="6"/>
      <c r="UFJ23" s="6"/>
      <c r="UFK23" s="8"/>
      <c r="UFL23" s="8"/>
      <c r="UFM23" s="8"/>
      <c r="UFN23" s="28"/>
      <c r="UFO23" s="7"/>
      <c r="UFP23" s="8"/>
      <c r="UFQ23" s="7"/>
      <c r="UFR23" s="7"/>
      <c r="UFS23" s="6"/>
      <c r="UFT23" s="7"/>
      <c r="UFU23" s="8"/>
      <c r="UFV23" s="6"/>
      <c r="UFW23" s="8"/>
      <c r="UFX23" s="6"/>
      <c r="UFY23" s="8"/>
      <c r="UFZ23" s="8"/>
      <c r="UGA23" s="6"/>
      <c r="UGB23" s="6"/>
      <c r="UGC23" s="8"/>
      <c r="UGD23" s="8"/>
      <c r="UGE23" s="8"/>
      <c r="UGF23" s="28"/>
      <c r="UGG23" s="7"/>
      <c r="UGH23" s="8"/>
      <c r="UGI23" s="7"/>
      <c r="UGJ23" s="7"/>
      <c r="UGK23" s="6"/>
      <c r="UGL23" s="7"/>
      <c r="UGM23" s="8"/>
      <c r="UGN23" s="6"/>
      <c r="UGO23" s="8"/>
      <c r="UGP23" s="6"/>
      <c r="UGQ23" s="8"/>
      <c r="UGR23" s="8"/>
      <c r="UGS23" s="6"/>
      <c r="UGT23" s="6"/>
      <c r="UGU23" s="8"/>
      <c r="UGV23" s="8"/>
      <c r="UGW23" s="8"/>
      <c r="UGX23" s="28"/>
      <c r="UGY23" s="7"/>
      <c r="UGZ23" s="8"/>
      <c r="UHA23" s="7"/>
      <c r="UHB23" s="7"/>
      <c r="UHC23" s="6"/>
      <c r="UHD23" s="7"/>
      <c r="UHE23" s="8"/>
      <c r="UHF23" s="6"/>
      <c r="UHG23" s="8"/>
      <c r="UHH23" s="6"/>
      <c r="UHI23" s="8"/>
      <c r="UHJ23" s="8"/>
      <c r="UHK23" s="6"/>
      <c r="UHL23" s="6"/>
      <c r="UHM23" s="8"/>
      <c r="UHN23" s="8"/>
      <c r="UHO23" s="8"/>
      <c r="UHP23" s="28"/>
      <c r="UHQ23" s="7"/>
      <c r="UHR23" s="8"/>
      <c r="UHS23" s="7"/>
      <c r="UHT23" s="7"/>
      <c r="UHU23" s="6"/>
      <c r="UHV23" s="7"/>
      <c r="UHW23" s="8"/>
      <c r="UHX23" s="6"/>
      <c r="UHY23" s="8"/>
      <c r="UHZ23" s="6"/>
      <c r="UIA23" s="8"/>
      <c r="UIB23" s="8"/>
      <c r="UIC23" s="6"/>
      <c r="UID23" s="6"/>
      <c r="UIE23" s="8"/>
      <c r="UIF23" s="8"/>
      <c r="UIG23" s="8"/>
      <c r="UIH23" s="28"/>
      <c r="UII23" s="7"/>
      <c r="UIJ23" s="8"/>
      <c r="UIK23" s="7"/>
      <c r="UIL23" s="7"/>
      <c r="UIM23" s="6"/>
      <c r="UIN23" s="7"/>
      <c r="UIO23" s="8"/>
      <c r="UIP23" s="6"/>
      <c r="UIQ23" s="8"/>
      <c r="UIR23" s="6"/>
      <c r="UIS23" s="8"/>
      <c r="UIT23" s="8"/>
      <c r="UIU23" s="6"/>
      <c r="UIV23" s="6"/>
      <c r="UIW23" s="8"/>
      <c r="UIX23" s="8"/>
      <c r="UIY23" s="8"/>
      <c r="UIZ23" s="28"/>
      <c r="UJA23" s="7"/>
      <c r="UJB23" s="8"/>
      <c r="UJC23" s="7"/>
      <c r="UJD23" s="7"/>
      <c r="UJE23" s="6"/>
      <c r="UJF23" s="7"/>
      <c r="UJG23" s="8"/>
      <c r="UJH23" s="6"/>
      <c r="UJI23" s="8"/>
      <c r="UJJ23" s="6"/>
      <c r="UJK23" s="8"/>
      <c r="UJL23" s="8"/>
      <c r="UJM23" s="6"/>
      <c r="UJN23" s="6"/>
      <c r="UJO23" s="8"/>
      <c r="UJP23" s="8"/>
      <c r="UJQ23" s="8"/>
      <c r="UJR23" s="28"/>
      <c r="UJS23" s="7"/>
      <c r="UJT23" s="8"/>
      <c r="UJU23" s="7"/>
      <c r="UJV23" s="7"/>
      <c r="UJW23" s="6"/>
      <c r="UJX23" s="7"/>
      <c r="UJY23" s="8"/>
      <c r="UJZ23" s="6"/>
      <c r="UKA23" s="8"/>
      <c r="UKB23" s="6"/>
      <c r="UKC23" s="8"/>
      <c r="UKD23" s="8"/>
      <c r="UKE23" s="6"/>
      <c r="UKF23" s="6"/>
      <c r="UKG23" s="8"/>
      <c r="UKH23" s="8"/>
      <c r="UKI23" s="8"/>
      <c r="UKJ23" s="28"/>
      <c r="UKK23" s="7"/>
      <c r="UKL23" s="8"/>
      <c r="UKM23" s="7"/>
      <c r="UKN23" s="7"/>
      <c r="UKO23" s="6"/>
      <c r="UKP23" s="7"/>
      <c r="UKQ23" s="8"/>
      <c r="UKR23" s="6"/>
      <c r="UKS23" s="8"/>
      <c r="UKT23" s="6"/>
      <c r="UKU23" s="8"/>
      <c r="UKV23" s="8"/>
      <c r="UKW23" s="6"/>
      <c r="UKX23" s="6"/>
      <c r="UKY23" s="8"/>
      <c r="UKZ23" s="8"/>
      <c r="ULA23" s="8"/>
      <c r="ULB23" s="28"/>
      <c r="ULC23" s="7"/>
      <c r="ULD23" s="8"/>
      <c r="ULE23" s="7"/>
      <c r="ULF23" s="7"/>
      <c r="ULG23" s="6"/>
      <c r="ULH23" s="7"/>
      <c r="ULI23" s="8"/>
      <c r="ULJ23" s="6"/>
      <c r="ULK23" s="8"/>
      <c r="ULL23" s="6"/>
      <c r="ULM23" s="8"/>
      <c r="ULN23" s="8"/>
      <c r="ULO23" s="6"/>
      <c r="ULP23" s="6"/>
      <c r="ULQ23" s="8"/>
      <c r="ULR23" s="8"/>
      <c r="ULS23" s="8"/>
      <c r="ULT23" s="28"/>
      <c r="ULU23" s="7"/>
      <c r="ULV23" s="8"/>
      <c r="ULW23" s="7"/>
      <c r="ULX23" s="7"/>
      <c r="ULY23" s="6"/>
      <c r="ULZ23" s="7"/>
      <c r="UMA23" s="8"/>
      <c r="UMB23" s="6"/>
      <c r="UMC23" s="8"/>
      <c r="UMD23" s="6"/>
      <c r="UME23" s="8"/>
      <c r="UMF23" s="8"/>
      <c r="UMG23" s="6"/>
      <c r="UMH23" s="6"/>
      <c r="UMI23" s="8"/>
      <c r="UMJ23" s="8"/>
      <c r="UMK23" s="8"/>
      <c r="UML23" s="28"/>
      <c r="UMM23" s="7"/>
      <c r="UMN23" s="8"/>
      <c r="UMO23" s="7"/>
      <c r="UMP23" s="7"/>
      <c r="UMQ23" s="6"/>
      <c r="UMR23" s="7"/>
      <c r="UMS23" s="8"/>
      <c r="UMT23" s="6"/>
      <c r="UMU23" s="8"/>
      <c r="UMV23" s="6"/>
      <c r="UMW23" s="8"/>
      <c r="UMX23" s="8"/>
      <c r="UMY23" s="6"/>
      <c r="UMZ23" s="6"/>
      <c r="UNA23" s="8"/>
      <c r="UNB23" s="8"/>
      <c r="UNC23" s="8"/>
      <c r="UND23" s="28"/>
      <c r="UNE23" s="7"/>
      <c r="UNF23" s="8"/>
      <c r="UNG23" s="7"/>
      <c r="UNH23" s="7"/>
      <c r="UNI23" s="6"/>
      <c r="UNJ23" s="7"/>
      <c r="UNK23" s="8"/>
      <c r="UNL23" s="6"/>
      <c r="UNM23" s="8"/>
      <c r="UNN23" s="6"/>
      <c r="UNO23" s="8"/>
      <c r="UNP23" s="8"/>
      <c r="UNQ23" s="6"/>
      <c r="UNR23" s="6"/>
      <c r="UNS23" s="8"/>
      <c r="UNT23" s="8"/>
      <c r="UNU23" s="8"/>
      <c r="UNV23" s="28"/>
      <c r="UNW23" s="7"/>
      <c r="UNX23" s="8"/>
      <c r="UNY23" s="7"/>
      <c r="UNZ23" s="7"/>
      <c r="UOA23" s="6"/>
      <c r="UOB23" s="7"/>
      <c r="UOC23" s="8"/>
      <c r="UOD23" s="6"/>
      <c r="UOE23" s="8"/>
      <c r="UOF23" s="6"/>
      <c r="UOG23" s="8"/>
      <c r="UOH23" s="8"/>
      <c r="UOI23" s="6"/>
      <c r="UOJ23" s="6"/>
      <c r="UOK23" s="8"/>
      <c r="UOL23" s="8"/>
      <c r="UOM23" s="8"/>
      <c r="UON23" s="28"/>
      <c r="UOO23" s="7"/>
      <c r="UOP23" s="8"/>
      <c r="UOQ23" s="7"/>
      <c r="UOR23" s="7"/>
      <c r="UOS23" s="6"/>
      <c r="UOT23" s="7"/>
      <c r="UOU23" s="8"/>
      <c r="UOV23" s="6"/>
      <c r="UOW23" s="8"/>
      <c r="UOX23" s="6"/>
      <c r="UOY23" s="8"/>
      <c r="UOZ23" s="8"/>
      <c r="UPA23" s="6"/>
      <c r="UPB23" s="6"/>
      <c r="UPC23" s="8"/>
      <c r="UPD23" s="8"/>
      <c r="UPE23" s="8"/>
      <c r="UPF23" s="28"/>
      <c r="UPG23" s="7"/>
      <c r="UPH23" s="8"/>
      <c r="UPI23" s="7"/>
      <c r="UPJ23" s="7"/>
      <c r="UPK23" s="6"/>
      <c r="UPL23" s="7"/>
      <c r="UPM23" s="8"/>
      <c r="UPN23" s="6"/>
      <c r="UPO23" s="8"/>
      <c r="UPP23" s="6"/>
      <c r="UPQ23" s="8"/>
      <c r="UPR23" s="8"/>
      <c r="UPS23" s="6"/>
      <c r="UPT23" s="6"/>
      <c r="UPU23" s="8"/>
      <c r="UPV23" s="8"/>
      <c r="UPW23" s="8"/>
      <c r="UPX23" s="28"/>
      <c r="UPY23" s="7"/>
      <c r="UPZ23" s="8"/>
      <c r="UQA23" s="7"/>
      <c r="UQB23" s="7"/>
      <c r="UQC23" s="6"/>
      <c r="UQD23" s="7"/>
      <c r="UQE23" s="8"/>
      <c r="UQF23" s="6"/>
      <c r="UQG23" s="8"/>
      <c r="UQH23" s="6"/>
      <c r="UQI23" s="8"/>
      <c r="UQJ23" s="8"/>
      <c r="UQK23" s="6"/>
      <c r="UQL23" s="6"/>
      <c r="UQM23" s="8"/>
      <c r="UQN23" s="8"/>
      <c r="UQO23" s="8"/>
      <c r="UQP23" s="28"/>
      <c r="UQQ23" s="7"/>
      <c r="UQR23" s="8"/>
      <c r="UQS23" s="7"/>
      <c r="UQT23" s="7"/>
      <c r="UQU23" s="6"/>
      <c r="UQV23" s="7"/>
      <c r="UQW23" s="8"/>
      <c r="UQX23" s="6"/>
      <c r="UQY23" s="8"/>
      <c r="UQZ23" s="6"/>
      <c r="URA23" s="8"/>
      <c r="URB23" s="8"/>
      <c r="URC23" s="6"/>
      <c r="URD23" s="6"/>
      <c r="URE23" s="8"/>
      <c r="URF23" s="8"/>
      <c r="URG23" s="8"/>
      <c r="URH23" s="28"/>
      <c r="URI23" s="7"/>
      <c r="URJ23" s="8"/>
      <c r="URK23" s="7"/>
      <c r="URL23" s="7"/>
      <c r="URM23" s="6"/>
      <c r="URN23" s="7"/>
      <c r="URO23" s="8"/>
      <c r="URP23" s="6"/>
      <c r="URQ23" s="8"/>
      <c r="URR23" s="6"/>
      <c r="URS23" s="8"/>
      <c r="URT23" s="8"/>
      <c r="URU23" s="6"/>
      <c r="URV23" s="6"/>
      <c r="URW23" s="8"/>
      <c r="URX23" s="8"/>
      <c r="URY23" s="8"/>
      <c r="URZ23" s="28"/>
      <c r="USA23" s="7"/>
      <c r="USB23" s="8"/>
      <c r="USC23" s="7"/>
      <c r="USD23" s="7"/>
      <c r="USE23" s="6"/>
      <c r="USF23" s="7"/>
      <c r="USG23" s="8"/>
      <c r="USH23" s="6"/>
      <c r="USI23" s="8"/>
      <c r="USJ23" s="6"/>
      <c r="USK23" s="8"/>
      <c r="USL23" s="8"/>
      <c r="USM23" s="6"/>
      <c r="USN23" s="6"/>
      <c r="USO23" s="8"/>
      <c r="USP23" s="8"/>
      <c r="USQ23" s="8"/>
      <c r="USR23" s="28"/>
      <c r="USS23" s="7"/>
      <c r="UST23" s="8"/>
      <c r="USU23" s="7"/>
      <c r="USV23" s="7"/>
      <c r="USW23" s="6"/>
      <c r="USX23" s="7"/>
      <c r="USY23" s="8"/>
      <c r="USZ23" s="6"/>
      <c r="UTA23" s="8"/>
      <c r="UTB23" s="6"/>
      <c r="UTC23" s="8"/>
      <c r="UTD23" s="8"/>
      <c r="UTE23" s="6"/>
      <c r="UTF23" s="6"/>
      <c r="UTG23" s="8"/>
      <c r="UTH23" s="8"/>
      <c r="UTI23" s="8"/>
      <c r="UTJ23" s="28"/>
      <c r="UTK23" s="7"/>
      <c r="UTL23" s="8"/>
      <c r="UTM23" s="7"/>
      <c r="UTN23" s="7"/>
      <c r="UTO23" s="6"/>
      <c r="UTP23" s="7"/>
      <c r="UTQ23" s="8"/>
      <c r="UTR23" s="6"/>
      <c r="UTS23" s="8"/>
      <c r="UTT23" s="6"/>
      <c r="UTU23" s="8"/>
      <c r="UTV23" s="8"/>
      <c r="UTW23" s="6"/>
      <c r="UTX23" s="6"/>
      <c r="UTY23" s="8"/>
      <c r="UTZ23" s="8"/>
      <c r="UUA23" s="8"/>
      <c r="UUB23" s="28"/>
      <c r="UUC23" s="7"/>
      <c r="UUD23" s="8"/>
      <c r="UUE23" s="7"/>
      <c r="UUF23" s="7"/>
      <c r="UUG23" s="6"/>
      <c r="UUH23" s="7"/>
      <c r="UUI23" s="8"/>
      <c r="UUJ23" s="6"/>
      <c r="UUK23" s="8"/>
      <c r="UUL23" s="6"/>
      <c r="UUM23" s="8"/>
      <c r="UUN23" s="8"/>
      <c r="UUO23" s="6"/>
      <c r="UUP23" s="6"/>
      <c r="UUQ23" s="8"/>
      <c r="UUR23" s="8"/>
      <c r="UUS23" s="8"/>
      <c r="UUT23" s="28"/>
      <c r="UUU23" s="7"/>
      <c r="UUV23" s="8"/>
      <c r="UUW23" s="7"/>
      <c r="UUX23" s="7"/>
      <c r="UUY23" s="6"/>
      <c r="UUZ23" s="7"/>
      <c r="UVA23" s="8"/>
      <c r="UVB23" s="6"/>
      <c r="UVC23" s="8"/>
      <c r="UVD23" s="6"/>
      <c r="UVE23" s="8"/>
      <c r="UVF23" s="8"/>
      <c r="UVG23" s="6"/>
      <c r="UVH23" s="6"/>
      <c r="UVI23" s="8"/>
      <c r="UVJ23" s="8"/>
      <c r="UVK23" s="8"/>
      <c r="UVL23" s="28"/>
      <c r="UVM23" s="7"/>
      <c r="UVN23" s="8"/>
      <c r="UVO23" s="7"/>
      <c r="UVP23" s="7"/>
      <c r="UVQ23" s="6"/>
      <c r="UVR23" s="7"/>
      <c r="UVS23" s="8"/>
      <c r="UVT23" s="6"/>
      <c r="UVU23" s="8"/>
      <c r="UVV23" s="6"/>
      <c r="UVW23" s="8"/>
      <c r="UVX23" s="8"/>
      <c r="UVY23" s="6"/>
      <c r="UVZ23" s="6"/>
      <c r="UWA23" s="8"/>
      <c r="UWB23" s="8"/>
      <c r="UWC23" s="8"/>
      <c r="UWD23" s="28"/>
      <c r="UWE23" s="7"/>
      <c r="UWF23" s="8"/>
      <c r="UWG23" s="7"/>
      <c r="UWH23" s="7"/>
      <c r="UWI23" s="6"/>
      <c r="UWJ23" s="7"/>
      <c r="UWK23" s="8"/>
      <c r="UWL23" s="6"/>
      <c r="UWM23" s="8"/>
      <c r="UWN23" s="6"/>
      <c r="UWO23" s="8"/>
      <c r="UWP23" s="8"/>
      <c r="UWQ23" s="6"/>
      <c r="UWR23" s="6"/>
      <c r="UWS23" s="8"/>
      <c r="UWT23" s="8"/>
      <c r="UWU23" s="8"/>
      <c r="UWV23" s="28"/>
      <c r="UWW23" s="7"/>
      <c r="UWX23" s="8"/>
      <c r="UWY23" s="7"/>
      <c r="UWZ23" s="7"/>
      <c r="UXA23" s="6"/>
      <c r="UXB23" s="7"/>
      <c r="UXC23" s="8"/>
      <c r="UXD23" s="6"/>
      <c r="UXE23" s="8"/>
      <c r="UXF23" s="6"/>
      <c r="UXG23" s="8"/>
      <c r="UXH23" s="8"/>
      <c r="UXI23" s="6"/>
      <c r="UXJ23" s="6"/>
      <c r="UXK23" s="8"/>
      <c r="UXL23" s="8"/>
      <c r="UXM23" s="8"/>
      <c r="UXN23" s="28"/>
      <c r="UXO23" s="7"/>
      <c r="UXP23" s="8"/>
      <c r="UXQ23" s="7"/>
      <c r="UXR23" s="7"/>
      <c r="UXS23" s="6"/>
      <c r="UXT23" s="7"/>
      <c r="UXU23" s="8"/>
      <c r="UXV23" s="6"/>
      <c r="UXW23" s="8"/>
      <c r="UXX23" s="6"/>
      <c r="UXY23" s="8"/>
      <c r="UXZ23" s="8"/>
      <c r="UYA23" s="6"/>
      <c r="UYB23" s="6"/>
      <c r="UYC23" s="8"/>
      <c r="UYD23" s="8"/>
      <c r="UYE23" s="8"/>
      <c r="UYF23" s="28"/>
      <c r="UYG23" s="7"/>
      <c r="UYH23" s="8"/>
      <c r="UYI23" s="7"/>
      <c r="UYJ23" s="7"/>
      <c r="UYK23" s="6"/>
      <c r="UYL23" s="7"/>
      <c r="UYM23" s="8"/>
      <c r="UYN23" s="6"/>
      <c r="UYO23" s="8"/>
      <c r="UYP23" s="6"/>
      <c r="UYQ23" s="8"/>
      <c r="UYR23" s="8"/>
      <c r="UYS23" s="6"/>
      <c r="UYT23" s="6"/>
      <c r="UYU23" s="8"/>
      <c r="UYV23" s="8"/>
      <c r="UYW23" s="8"/>
      <c r="UYX23" s="28"/>
      <c r="UYY23" s="7"/>
      <c r="UYZ23" s="8"/>
      <c r="UZA23" s="7"/>
      <c r="UZB23" s="7"/>
      <c r="UZC23" s="6"/>
      <c r="UZD23" s="7"/>
      <c r="UZE23" s="8"/>
      <c r="UZF23" s="6"/>
      <c r="UZG23" s="8"/>
      <c r="UZH23" s="6"/>
      <c r="UZI23" s="8"/>
      <c r="UZJ23" s="8"/>
      <c r="UZK23" s="6"/>
      <c r="UZL23" s="6"/>
      <c r="UZM23" s="8"/>
      <c r="UZN23" s="8"/>
      <c r="UZO23" s="8"/>
      <c r="UZP23" s="28"/>
      <c r="UZQ23" s="7"/>
      <c r="UZR23" s="8"/>
      <c r="UZS23" s="7"/>
      <c r="UZT23" s="7"/>
      <c r="UZU23" s="6"/>
      <c r="UZV23" s="7"/>
      <c r="UZW23" s="8"/>
      <c r="UZX23" s="6"/>
      <c r="UZY23" s="8"/>
      <c r="UZZ23" s="6"/>
      <c r="VAA23" s="8"/>
      <c r="VAB23" s="8"/>
      <c r="VAC23" s="6"/>
      <c r="VAD23" s="6"/>
      <c r="VAE23" s="8"/>
      <c r="VAF23" s="8"/>
      <c r="VAG23" s="8"/>
      <c r="VAH23" s="28"/>
      <c r="VAI23" s="7"/>
      <c r="VAJ23" s="8"/>
      <c r="VAK23" s="7"/>
      <c r="VAL23" s="7"/>
      <c r="VAM23" s="6"/>
      <c r="VAN23" s="7"/>
      <c r="VAO23" s="8"/>
      <c r="VAP23" s="6"/>
      <c r="VAQ23" s="8"/>
      <c r="VAR23" s="6"/>
      <c r="VAS23" s="8"/>
      <c r="VAT23" s="8"/>
      <c r="VAU23" s="6"/>
      <c r="VAV23" s="6"/>
      <c r="VAW23" s="8"/>
      <c r="VAX23" s="8"/>
      <c r="VAY23" s="8"/>
      <c r="VAZ23" s="28"/>
      <c r="VBA23" s="7"/>
      <c r="VBB23" s="8"/>
      <c r="VBC23" s="7"/>
      <c r="VBD23" s="7"/>
      <c r="VBE23" s="6"/>
      <c r="VBF23" s="7"/>
      <c r="VBG23" s="8"/>
      <c r="VBH23" s="6"/>
      <c r="VBI23" s="8"/>
      <c r="VBJ23" s="6"/>
      <c r="VBK23" s="8"/>
      <c r="VBL23" s="8"/>
      <c r="VBM23" s="6"/>
      <c r="VBN23" s="6"/>
      <c r="VBO23" s="8"/>
      <c r="VBP23" s="8"/>
      <c r="VBQ23" s="8"/>
      <c r="VBR23" s="28"/>
      <c r="VBS23" s="7"/>
      <c r="VBT23" s="8"/>
      <c r="VBU23" s="7"/>
      <c r="VBV23" s="7"/>
      <c r="VBW23" s="6"/>
      <c r="VBX23" s="7"/>
      <c r="VBY23" s="8"/>
      <c r="VBZ23" s="6"/>
      <c r="VCA23" s="8"/>
      <c r="VCB23" s="6"/>
      <c r="VCC23" s="8"/>
      <c r="VCD23" s="8"/>
      <c r="VCE23" s="6"/>
      <c r="VCF23" s="6"/>
      <c r="VCG23" s="8"/>
      <c r="VCH23" s="8"/>
      <c r="VCI23" s="8"/>
      <c r="VCJ23" s="28"/>
      <c r="VCK23" s="7"/>
      <c r="VCL23" s="8"/>
      <c r="VCM23" s="7"/>
      <c r="VCN23" s="7"/>
      <c r="VCO23" s="6"/>
      <c r="VCP23" s="7"/>
      <c r="VCQ23" s="8"/>
      <c r="VCR23" s="6"/>
      <c r="VCS23" s="8"/>
      <c r="VCT23" s="6"/>
      <c r="VCU23" s="8"/>
      <c r="VCV23" s="8"/>
      <c r="VCW23" s="6"/>
      <c r="VCX23" s="6"/>
      <c r="VCY23" s="8"/>
      <c r="VCZ23" s="8"/>
      <c r="VDA23" s="8"/>
      <c r="VDB23" s="28"/>
      <c r="VDC23" s="7"/>
      <c r="VDD23" s="8"/>
      <c r="VDE23" s="7"/>
      <c r="VDF23" s="7"/>
      <c r="VDG23" s="6"/>
      <c r="VDH23" s="7"/>
      <c r="VDI23" s="8"/>
      <c r="VDJ23" s="6"/>
      <c r="VDK23" s="8"/>
      <c r="VDL23" s="6"/>
      <c r="VDM23" s="8"/>
      <c r="VDN23" s="8"/>
      <c r="VDO23" s="6"/>
      <c r="VDP23" s="6"/>
      <c r="VDQ23" s="8"/>
      <c r="VDR23" s="8"/>
      <c r="VDS23" s="8"/>
      <c r="VDT23" s="28"/>
      <c r="VDU23" s="7"/>
      <c r="VDV23" s="8"/>
      <c r="VDW23" s="7"/>
      <c r="VDX23" s="7"/>
      <c r="VDY23" s="6"/>
      <c r="VDZ23" s="7"/>
      <c r="VEA23" s="8"/>
      <c r="VEB23" s="6"/>
      <c r="VEC23" s="8"/>
      <c r="VED23" s="6"/>
      <c r="VEE23" s="8"/>
      <c r="VEF23" s="8"/>
      <c r="VEG23" s="6"/>
      <c r="VEH23" s="6"/>
      <c r="VEI23" s="8"/>
      <c r="VEJ23" s="8"/>
      <c r="VEK23" s="8"/>
      <c r="VEL23" s="28"/>
      <c r="VEM23" s="7"/>
      <c r="VEN23" s="8"/>
      <c r="VEO23" s="7"/>
      <c r="VEP23" s="7"/>
      <c r="VEQ23" s="6"/>
      <c r="VER23" s="7"/>
      <c r="VES23" s="8"/>
      <c r="VET23" s="6"/>
      <c r="VEU23" s="8"/>
      <c r="VEV23" s="6"/>
      <c r="VEW23" s="8"/>
      <c r="VEX23" s="8"/>
      <c r="VEY23" s="6"/>
      <c r="VEZ23" s="6"/>
      <c r="VFA23" s="8"/>
      <c r="VFB23" s="8"/>
      <c r="VFC23" s="8"/>
      <c r="VFD23" s="28"/>
      <c r="VFE23" s="7"/>
      <c r="VFF23" s="8"/>
      <c r="VFG23" s="7"/>
      <c r="VFH23" s="7"/>
      <c r="VFI23" s="6"/>
      <c r="VFJ23" s="7"/>
      <c r="VFK23" s="8"/>
      <c r="VFL23" s="6"/>
      <c r="VFM23" s="8"/>
      <c r="VFN23" s="6"/>
      <c r="VFO23" s="8"/>
      <c r="VFP23" s="8"/>
      <c r="VFQ23" s="6"/>
      <c r="VFR23" s="6"/>
      <c r="VFS23" s="8"/>
      <c r="VFT23" s="8"/>
      <c r="VFU23" s="8"/>
      <c r="VFV23" s="28"/>
      <c r="VFW23" s="7"/>
      <c r="VFX23" s="8"/>
      <c r="VFY23" s="7"/>
      <c r="VFZ23" s="7"/>
      <c r="VGA23" s="6"/>
      <c r="VGB23" s="7"/>
      <c r="VGC23" s="8"/>
      <c r="VGD23" s="6"/>
      <c r="VGE23" s="8"/>
      <c r="VGF23" s="6"/>
      <c r="VGG23" s="8"/>
      <c r="VGH23" s="8"/>
      <c r="VGI23" s="6"/>
      <c r="VGJ23" s="6"/>
      <c r="VGK23" s="8"/>
      <c r="VGL23" s="8"/>
      <c r="VGM23" s="8"/>
      <c r="VGN23" s="28"/>
      <c r="VGO23" s="7"/>
      <c r="VGP23" s="8"/>
      <c r="VGQ23" s="7"/>
      <c r="VGR23" s="7"/>
      <c r="VGS23" s="6"/>
      <c r="VGT23" s="7"/>
      <c r="VGU23" s="8"/>
      <c r="VGV23" s="6"/>
      <c r="VGW23" s="8"/>
      <c r="VGX23" s="6"/>
      <c r="VGY23" s="8"/>
      <c r="VGZ23" s="8"/>
      <c r="VHA23" s="6"/>
      <c r="VHB23" s="6"/>
      <c r="VHC23" s="8"/>
      <c r="VHD23" s="8"/>
      <c r="VHE23" s="8"/>
      <c r="VHF23" s="28"/>
      <c r="VHG23" s="7"/>
      <c r="VHH23" s="8"/>
      <c r="VHI23" s="7"/>
      <c r="VHJ23" s="7"/>
      <c r="VHK23" s="6"/>
      <c r="VHL23" s="7"/>
      <c r="VHM23" s="8"/>
      <c r="VHN23" s="6"/>
      <c r="VHO23" s="8"/>
      <c r="VHP23" s="6"/>
      <c r="VHQ23" s="8"/>
      <c r="VHR23" s="8"/>
      <c r="VHS23" s="6"/>
      <c r="VHT23" s="6"/>
      <c r="VHU23" s="8"/>
      <c r="VHV23" s="8"/>
      <c r="VHW23" s="8"/>
      <c r="VHX23" s="28"/>
      <c r="VHY23" s="7"/>
      <c r="VHZ23" s="8"/>
      <c r="VIA23" s="7"/>
      <c r="VIB23" s="7"/>
      <c r="VIC23" s="6"/>
      <c r="VID23" s="7"/>
      <c r="VIE23" s="8"/>
      <c r="VIF23" s="6"/>
      <c r="VIG23" s="8"/>
      <c r="VIH23" s="6"/>
      <c r="VII23" s="8"/>
      <c r="VIJ23" s="8"/>
      <c r="VIK23" s="6"/>
      <c r="VIL23" s="6"/>
      <c r="VIM23" s="8"/>
      <c r="VIN23" s="8"/>
      <c r="VIO23" s="8"/>
      <c r="VIP23" s="28"/>
      <c r="VIQ23" s="7"/>
      <c r="VIR23" s="8"/>
      <c r="VIS23" s="7"/>
      <c r="VIT23" s="7"/>
      <c r="VIU23" s="6"/>
      <c r="VIV23" s="7"/>
      <c r="VIW23" s="8"/>
      <c r="VIX23" s="6"/>
      <c r="VIY23" s="8"/>
      <c r="VIZ23" s="6"/>
      <c r="VJA23" s="8"/>
      <c r="VJB23" s="8"/>
      <c r="VJC23" s="6"/>
      <c r="VJD23" s="6"/>
      <c r="VJE23" s="8"/>
      <c r="VJF23" s="8"/>
      <c r="VJG23" s="8"/>
      <c r="VJH23" s="28"/>
      <c r="VJI23" s="7"/>
      <c r="VJJ23" s="8"/>
      <c r="VJK23" s="7"/>
      <c r="VJL23" s="7"/>
      <c r="VJM23" s="6"/>
      <c r="VJN23" s="7"/>
      <c r="VJO23" s="8"/>
      <c r="VJP23" s="6"/>
      <c r="VJQ23" s="8"/>
      <c r="VJR23" s="6"/>
      <c r="VJS23" s="8"/>
      <c r="VJT23" s="8"/>
      <c r="VJU23" s="6"/>
      <c r="VJV23" s="6"/>
      <c r="VJW23" s="8"/>
      <c r="VJX23" s="8"/>
      <c r="VJY23" s="8"/>
      <c r="VJZ23" s="28"/>
      <c r="VKA23" s="7"/>
      <c r="VKB23" s="8"/>
      <c r="VKC23" s="7"/>
      <c r="VKD23" s="7"/>
      <c r="VKE23" s="6"/>
      <c r="VKF23" s="7"/>
      <c r="VKG23" s="8"/>
      <c r="VKH23" s="6"/>
      <c r="VKI23" s="8"/>
      <c r="VKJ23" s="6"/>
      <c r="VKK23" s="8"/>
      <c r="VKL23" s="8"/>
      <c r="VKM23" s="6"/>
      <c r="VKN23" s="6"/>
      <c r="VKO23" s="8"/>
      <c r="VKP23" s="8"/>
      <c r="VKQ23" s="8"/>
      <c r="VKR23" s="28"/>
      <c r="VKS23" s="7"/>
      <c r="VKT23" s="8"/>
      <c r="VKU23" s="7"/>
      <c r="VKV23" s="7"/>
      <c r="VKW23" s="6"/>
      <c r="VKX23" s="7"/>
      <c r="VKY23" s="8"/>
      <c r="VKZ23" s="6"/>
      <c r="VLA23" s="8"/>
      <c r="VLB23" s="6"/>
      <c r="VLC23" s="8"/>
      <c r="VLD23" s="8"/>
      <c r="VLE23" s="6"/>
      <c r="VLF23" s="6"/>
      <c r="VLG23" s="8"/>
      <c r="VLH23" s="8"/>
      <c r="VLI23" s="8"/>
      <c r="VLJ23" s="28"/>
      <c r="VLK23" s="7"/>
      <c r="VLL23" s="8"/>
      <c r="VLM23" s="7"/>
      <c r="VLN23" s="7"/>
      <c r="VLO23" s="6"/>
      <c r="VLP23" s="7"/>
      <c r="VLQ23" s="8"/>
      <c r="VLR23" s="6"/>
      <c r="VLS23" s="8"/>
      <c r="VLT23" s="6"/>
      <c r="VLU23" s="8"/>
      <c r="VLV23" s="8"/>
      <c r="VLW23" s="6"/>
      <c r="VLX23" s="6"/>
      <c r="VLY23" s="8"/>
      <c r="VLZ23" s="8"/>
      <c r="VMA23" s="8"/>
      <c r="VMB23" s="28"/>
      <c r="VMC23" s="7"/>
      <c r="VMD23" s="8"/>
      <c r="VME23" s="7"/>
      <c r="VMF23" s="7"/>
      <c r="VMG23" s="6"/>
      <c r="VMH23" s="7"/>
      <c r="VMI23" s="8"/>
      <c r="VMJ23" s="6"/>
      <c r="VMK23" s="8"/>
      <c r="VML23" s="6"/>
      <c r="VMM23" s="8"/>
      <c r="VMN23" s="8"/>
      <c r="VMO23" s="6"/>
      <c r="VMP23" s="6"/>
      <c r="VMQ23" s="8"/>
      <c r="VMR23" s="8"/>
      <c r="VMS23" s="8"/>
      <c r="VMT23" s="28"/>
      <c r="VMU23" s="7"/>
      <c r="VMV23" s="8"/>
      <c r="VMW23" s="7"/>
      <c r="VMX23" s="7"/>
      <c r="VMY23" s="6"/>
      <c r="VMZ23" s="7"/>
      <c r="VNA23" s="8"/>
      <c r="VNB23" s="6"/>
      <c r="VNC23" s="8"/>
      <c r="VND23" s="6"/>
      <c r="VNE23" s="8"/>
      <c r="VNF23" s="8"/>
      <c r="VNG23" s="6"/>
      <c r="VNH23" s="6"/>
      <c r="VNI23" s="8"/>
      <c r="VNJ23" s="8"/>
      <c r="VNK23" s="8"/>
      <c r="VNL23" s="28"/>
      <c r="VNM23" s="7"/>
      <c r="VNN23" s="8"/>
      <c r="VNO23" s="7"/>
      <c r="VNP23" s="7"/>
      <c r="VNQ23" s="6"/>
      <c r="VNR23" s="7"/>
      <c r="VNS23" s="8"/>
      <c r="VNT23" s="6"/>
      <c r="VNU23" s="8"/>
      <c r="VNV23" s="6"/>
      <c r="VNW23" s="8"/>
      <c r="VNX23" s="8"/>
      <c r="VNY23" s="6"/>
      <c r="VNZ23" s="6"/>
      <c r="VOA23" s="8"/>
      <c r="VOB23" s="8"/>
      <c r="VOC23" s="8"/>
      <c r="VOD23" s="28"/>
      <c r="VOE23" s="7"/>
      <c r="VOF23" s="8"/>
      <c r="VOG23" s="7"/>
      <c r="VOH23" s="7"/>
      <c r="VOI23" s="6"/>
      <c r="VOJ23" s="7"/>
      <c r="VOK23" s="8"/>
      <c r="VOL23" s="6"/>
      <c r="VOM23" s="8"/>
      <c r="VON23" s="6"/>
      <c r="VOO23" s="8"/>
      <c r="VOP23" s="8"/>
      <c r="VOQ23" s="6"/>
      <c r="VOR23" s="6"/>
      <c r="VOS23" s="8"/>
      <c r="VOT23" s="8"/>
      <c r="VOU23" s="8"/>
      <c r="VOV23" s="28"/>
      <c r="VOW23" s="7"/>
      <c r="VOX23" s="8"/>
      <c r="VOY23" s="7"/>
      <c r="VOZ23" s="7"/>
      <c r="VPA23" s="6"/>
      <c r="VPB23" s="7"/>
      <c r="VPC23" s="8"/>
      <c r="VPD23" s="6"/>
      <c r="VPE23" s="8"/>
      <c r="VPF23" s="6"/>
      <c r="VPG23" s="8"/>
      <c r="VPH23" s="8"/>
      <c r="VPI23" s="6"/>
      <c r="VPJ23" s="6"/>
      <c r="VPK23" s="8"/>
      <c r="VPL23" s="8"/>
      <c r="VPM23" s="8"/>
      <c r="VPN23" s="28"/>
      <c r="VPO23" s="7"/>
      <c r="VPP23" s="8"/>
      <c r="VPQ23" s="7"/>
      <c r="VPR23" s="7"/>
      <c r="VPS23" s="6"/>
      <c r="VPT23" s="7"/>
      <c r="VPU23" s="8"/>
      <c r="VPV23" s="6"/>
      <c r="VPW23" s="8"/>
      <c r="VPX23" s="6"/>
      <c r="VPY23" s="8"/>
      <c r="VPZ23" s="8"/>
      <c r="VQA23" s="6"/>
      <c r="VQB23" s="6"/>
      <c r="VQC23" s="8"/>
      <c r="VQD23" s="8"/>
      <c r="VQE23" s="8"/>
      <c r="VQF23" s="28"/>
      <c r="VQG23" s="7"/>
      <c r="VQH23" s="8"/>
      <c r="VQI23" s="7"/>
      <c r="VQJ23" s="7"/>
      <c r="VQK23" s="6"/>
      <c r="VQL23" s="7"/>
      <c r="VQM23" s="8"/>
      <c r="VQN23" s="6"/>
      <c r="VQO23" s="8"/>
      <c r="VQP23" s="6"/>
      <c r="VQQ23" s="8"/>
      <c r="VQR23" s="8"/>
      <c r="VQS23" s="6"/>
      <c r="VQT23" s="6"/>
      <c r="VQU23" s="8"/>
      <c r="VQV23" s="8"/>
      <c r="VQW23" s="8"/>
      <c r="VQX23" s="28"/>
      <c r="VQY23" s="7"/>
      <c r="VQZ23" s="8"/>
      <c r="VRA23" s="7"/>
      <c r="VRB23" s="7"/>
      <c r="VRC23" s="6"/>
      <c r="VRD23" s="7"/>
      <c r="VRE23" s="8"/>
      <c r="VRF23" s="6"/>
      <c r="VRG23" s="8"/>
      <c r="VRH23" s="6"/>
      <c r="VRI23" s="8"/>
      <c r="VRJ23" s="8"/>
      <c r="VRK23" s="6"/>
      <c r="VRL23" s="6"/>
      <c r="VRM23" s="8"/>
      <c r="VRN23" s="8"/>
      <c r="VRO23" s="8"/>
      <c r="VRP23" s="28"/>
      <c r="VRQ23" s="7"/>
      <c r="VRR23" s="8"/>
      <c r="VRS23" s="7"/>
      <c r="VRT23" s="7"/>
      <c r="VRU23" s="6"/>
      <c r="VRV23" s="7"/>
      <c r="VRW23" s="8"/>
      <c r="VRX23" s="6"/>
      <c r="VRY23" s="8"/>
      <c r="VRZ23" s="6"/>
      <c r="VSA23" s="8"/>
      <c r="VSB23" s="8"/>
      <c r="VSC23" s="6"/>
      <c r="VSD23" s="6"/>
      <c r="VSE23" s="8"/>
      <c r="VSF23" s="8"/>
      <c r="VSG23" s="8"/>
      <c r="VSH23" s="28"/>
      <c r="VSI23" s="7"/>
      <c r="VSJ23" s="8"/>
      <c r="VSK23" s="7"/>
      <c r="VSL23" s="7"/>
      <c r="VSM23" s="6"/>
      <c r="VSN23" s="7"/>
      <c r="VSO23" s="8"/>
      <c r="VSP23" s="6"/>
      <c r="VSQ23" s="8"/>
      <c r="VSR23" s="6"/>
      <c r="VSS23" s="8"/>
      <c r="VST23" s="8"/>
      <c r="VSU23" s="6"/>
      <c r="VSV23" s="6"/>
      <c r="VSW23" s="8"/>
      <c r="VSX23" s="8"/>
      <c r="VSY23" s="8"/>
      <c r="VSZ23" s="28"/>
      <c r="VTA23" s="7"/>
      <c r="VTB23" s="8"/>
      <c r="VTC23" s="7"/>
      <c r="VTD23" s="7"/>
      <c r="VTE23" s="6"/>
      <c r="VTF23" s="7"/>
      <c r="VTG23" s="8"/>
      <c r="VTH23" s="6"/>
      <c r="VTI23" s="8"/>
      <c r="VTJ23" s="6"/>
      <c r="VTK23" s="8"/>
      <c r="VTL23" s="8"/>
      <c r="VTM23" s="6"/>
      <c r="VTN23" s="6"/>
      <c r="VTO23" s="8"/>
      <c r="VTP23" s="8"/>
      <c r="VTQ23" s="8"/>
      <c r="VTR23" s="28"/>
      <c r="VTS23" s="7"/>
      <c r="VTT23" s="8"/>
      <c r="VTU23" s="7"/>
      <c r="VTV23" s="7"/>
      <c r="VTW23" s="6"/>
      <c r="VTX23" s="7"/>
      <c r="VTY23" s="8"/>
      <c r="VTZ23" s="6"/>
      <c r="VUA23" s="8"/>
      <c r="VUB23" s="6"/>
      <c r="VUC23" s="8"/>
      <c r="VUD23" s="8"/>
      <c r="VUE23" s="6"/>
      <c r="VUF23" s="6"/>
      <c r="VUG23" s="8"/>
      <c r="VUH23" s="8"/>
      <c r="VUI23" s="8"/>
      <c r="VUJ23" s="28"/>
      <c r="VUK23" s="7"/>
      <c r="VUL23" s="8"/>
      <c r="VUM23" s="7"/>
      <c r="VUN23" s="7"/>
      <c r="VUO23" s="6"/>
      <c r="VUP23" s="7"/>
      <c r="VUQ23" s="8"/>
      <c r="VUR23" s="6"/>
      <c r="VUS23" s="8"/>
      <c r="VUT23" s="6"/>
      <c r="VUU23" s="8"/>
      <c r="VUV23" s="8"/>
      <c r="VUW23" s="6"/>
      <c r="VUX23" s="6"/>
      <c r="VUY23" s="8"/>
      <c r="VUZ23" s="8"/>
      <c r="VVA23" s="8"/>
      <c r="VVB23" s="28"/>
      <c r="VVC23" s="7"/>
      <c r="VVD23" s="8"/>
      <c r="VVE23" s="7"/>
      <c r="VVF23" s="7"/>
      <c r="VVG23" s="6"/>
      <c r="VVH23" s="7"/>
      <c r="VVI23" s="8"/>
      <c r="VVJ23" s="6"/>
      <c r="VVK23" s="8"/>
      <c r="VVL23" s="6"/>
      <c r="VVM23" s="8"/>
      <c r="VVN23" s="8"/>
      <c r="VVO23" s="6"/>
      <c r="VVP23" s="6"/>
      <c r="VVQ23" s="8"/>
      <c r="VVR23" s="8"/>
      <c r="VVS23" s="8"/>
      <c r="VVT23" s="28"/>
      <c r="VVU23" s="7"/>
      <c r="VVV23" s="8"/>
      <c r="VVW23" s="7"/>
      <c r="VVX23" s="7"/>
      <c r="VVY23" s="6"/>
      <c r="VVZ23" s="7"/>
      <c r="VWA23" s="8"/>
      <c r="VWB23" s="6"/>
      <c r="VWC23" s="8"/>
      <c r="VWD23" s="6"/>
      <c r="VWE23" s="8"/>
      <c r="VWF23" s="8"/>
      <c r="VWG23" s="6"/>
      <c r="VWH23" s="6"/>
      <c r="VWI23" s="8"/>
      <c r="VWJ23" s="8"/>
      <c r="VWK23" s="8"/>
      <c r="VWL23" s="28"/>
      <c r="VWM23" s="7"/>
      <c r="VWN23" s="8"/>
      <c r="VWO23" s="7"/>
      <c r="VWP23" s="7"/>
      <c r="VWQ23" s="6"/>
      <c r="VWR23" s="7"/>
      <c r="VWS23" s="8"/>
      <c r="VWT23" s="6"/>
      <c r="VWU23" s="8"/>
      <c r="VWV23" s="6"/>
      <c r="VWW23" s="8"/>
      <c r="VWX23" s="8"/>
      <c r="VWY23" s="6"/>
      <c r="VWZ23" s="6"/>
      <c r="VXA23" s="8"/>
      <c r="VXB23" s="8"/>
      <c r="VXC23" s="8"/>
      <c r="VXD23" s="28"/>
      <c r="VXE23" s="7"/>
      <c r="VXF23" s="8"/>
      <c r="VXG23" s="7"/>
      <c r="VXH23" s="7"/>
      <c r="VXI23" s="6"/>
      <c r="VXJ23" s="7"/>
      <c r="VXK23" s="8"/>
      <c r="VXL23" s="6"/>
      <c r="VXM23" s="8"/>
      <c r="VXN23" s="6"/>
      <c r="VXO23" s="8"/>
      <c r="VXP23" s="8"/>
      <c r="VXQ23" s="6"/>
      <c r="VXR23" s="6"/>
      <c r="VXS23" s="8"/>
      <c r="VXT23" s="8"/>
      <c r="VXU23" s="8"/>
      <c r="VXV23" s="28"/>
      <c r="VXW23" s="7"/>
      <c r="VXX23" s="8"/>
      <c r="VXY23" s="7"/>
      <c r="VXZ23" s="7"/>
      <c r="VYA23" s="6"/>
      <c r="VYB23" s="7"/>
      <c r="VYC23" s="8"/>
      <c r="VYD23" s="6"/>
      <c r="VYE23" s="8"/>
      <c r="VYF23" s="6"/>
      <c r="VYG23" s="8"/>
      <c r="VYH23" s="8"/>
      <c r="VYI23" s="6"/>
      <c r="VYJ23" s="6"/>
      <c r="VYK23" s="8"/>
      <c r="VYL23" s="8"/>
      <c r="VYM23" s="8"/>
      <c r="VYN23" s="28"/>
      <c r="VYO23" s="7"/>
      <c r="VYP23" s="8"/>
      <c r="VYQ23" s="7"/>
      <c r="VYR23" s="7"/>
      <c r="VYS23" s="6"/>
      <c r="VYT23" s="7"/>
      <c r="VYU23" s="8"/>
      <c r="VYV23" s="6"/>
      <c r="VYW23" s="8"/>
      <c r="VYX23" s="6"/>
      <c r="VYY23" s="8"/>
      <c r="VYZ23" s="8"/>
      <c r="VZA23" s="6"/>
      <c r="VZB23" s="6"/>
      <c r="VZC23" s="8"/>
      <c r="VZD23" s="8"/>
      <c r="VZE23" s="8"/>
      <c r="VZF23" s="28"/>
      <c r="VZG23" s="7"/>
      <c r="VZH23" s="8"/>
      <c r="VZI23" s="7"/>
      <c r="VZJ23" s="7"/>
      <c r="VZK23" s="6"/>
      <c r="VZL23" s="7"/>
      <c r="VZM23" s="8"/>
      <c r="VZN23" s="6"/>
      <c r="VZO23" s="8"/>
      <c r="VZP23" s="6"/>
      <c r="VZQ23" s="8"/>
      <c r="VZR23" s="8"/>
      <c r="VZS23" s="6"/>
      <c r="VZT23" s="6"/>
      <c r="VZU23" s="8"/>
      <c r="VZV23" s="8"/>
      <c r="VZW23" s="8"/>
      <c r="VZX23" s="28"/>
      <c r="VZY23" s="7"/>
      <c r="VZZ23" s="8"/>
      <c r="WAA23" s="7"/>
      <c r="WAB23" s="7"/>
      <c r="WAC23" s="6"/>
      <c r="WAD23" s="7"/>
      <c r="WAE23" s="8"/>
      <c r="WAF23" s="6"/>
      <c r="WAG23" s="8"/>
      <c r="WAH23" s="6"/>
      <c r="WAI23" s="8"/>
      <c r="WAJ23" s="8"/>
      <c r="WAK23" s="6"/>
      <c r="WAL23" s="6"/>
      <c r="WAM23" s="8"/>
      <c r="WAN23" s="8"/>
      <c r="WAO23" s="8"/>
      <c r="WAP23" s="28"/>
      <c r="WAQ23" s="7"/>
      <c r="WAR23" s="8"/>
      <c r="WAS23" s="7"/>
      <c r="WAT23" s="7"/>
      <c r="WAU23" s="6"/>
      <c r="WAV23" s="7"/>
      <c r="WAW23" s="8"/>
      <c r="WAX23" s="6"/>
      <c r="WAY23" s="8"/>
      <c r="WAZ23" s="6"/>
      <c r="WBA23" s="8"/>
      <c r="WBB23" s="8"/>
      <c r="WBC23" s="6"/>
      <c r="WBD23" s="6"/>
      <c r="WBE23" s="8"/>
      <c r="WBF23" s="8"/>
      <c r="WBG23" s="8"/>
      <c r="WBH23" s="28"/>
      <c r="WBI23" s="7"/>
      <c r="WBJ23" s="8"/>
      <c r="WBK23" s="7"/>
      <c r="WBL23" s="7"/>
      <c r="WBM23" s="6"/>
      <c r="WBN23" s="7"/>
      <c r="WBO23" s="8"/>
      <c r="WBP23" s="6"/>
      <c r="WBQ23" s="8"/>
      <c r="WBR23" s="6"/>
      <c r="WBS23" s="8"/>
      <c r="WBT23" s="8"/>
      <c r="WBU23" s="6"/>
      <c r="WBV23" s="6"/>
      <c r="WBW23" s="8"/>
      <c r="WBX23" s="8"/>
      <c r="WBY23" s="8"/>
      <c r="WBZ23" s="28"/>
      <c r="WCA23" s="7"/>
      <c r="WCB23" s="8"/>
      <c r="WCC23" s="7"/>
      <c r="WCD23" s="7"/>
      <c r="WCE23" s="6"/>
      <c r="WCF23" s="7"/>
      <c r="WCG23" s="8"/>
      <c r="WCH23" s="6"/>
      <c r="WCI23" s="8"/>
      <c r="WCJ23" s="6"/>
      <c r="WCK23" s="8"/>
      <c r="WCL23" s="8"/>
      <c r="WCM23" s="6"/>
      <c r="WCN23" s="6"/>
      <c r="WCO23" s="8"/>
      <c r="WCP23" s="8"/>
      <c r="WCQ23" s="8"/>
      <c r="WCR23" s="28"/>
      <c r="WCS23" s="7"/>
      <c r="WCT23" s="8"/>
      <c r="WCU23" s="7"/>
      <c r="WCV23" s="7"/>
      <c r="WCW23" s="6"/>
      <c r="WCX23" s="7"/>
      <c r="WCY23" s="8"/>
      <c r="WCZ23" s="6"/>
      <c r="WDA23" s="8"/>
      <c r="WDB23" s="6"/>
      <c r="WDC23" s="8"/>
      <c r="WDD23" s="8"/>
      <c r="WDE23" s="6"/>
      <c r="WDF23" s="6"/>
      <c r="WDG23" s="8"/>
      <c r="WDH23" s="8"/>
      <c r="WDI23" s="8"/>
      <c r="WDJ23" s="28"/>
      <c r="WDK23" s="7"/>
      <c r="WDL23" s="8"/>
      <c r="WDM23" s="7"/>
      <c r="WDN23" s="7"/>
      <c r="WDO23" s="6"/>
      <c r="WDP23" s="7"/>
      <c r="WDQ23" s="8"/>
      <c r="WDR23" s="6"/>
      <c r="WDS23" s="8"/>
      <c r="WDT23" s="6"/>
      <c r="WDU23" s="8"/>
      <c r="WDV23" s="8"/>
      <c r="WDW23" s="6"/>
      <c r="WDX23" s="6"/>
      <c r="WDY23" s="8"/>
      <c r="WDZ23" s="8"/>
      <c r="WEA23" s="8"/>
      <c r="WEB23" s="28"/>
      <c r="WEC23" s="7"/>
      <c r="WED23" s="8"/>
      <c r="WEE23" s="7"/>
      <c r="WEF23" s="7"/>
      <c r="WEG23" s="6"/>
      <c r="WEH23" s="7"/>
      <c r="WEI23" s="8"/>
      <c r="WEJ23" s="6"/>
      <c r="WEK23" s="8"/>
      <c r="WEL23" s="6"/>
      <c r="WEM23" s="8"/>
      <c r="WEN23" s="8"/>
      <c r="WEO23" s="6"/>
      <c r="WEP23" s="6"/>
      <c r="WEQ23" s="8"/>
      <c r="WER23" s="8"/>
      <c r="WES23" s="8"/>
      <c r="WET23" s="28"/>
      <c r="WEU23" s="7"/>
      <c r="WEV23" s="8"/>
      <c r="WEW23" s="7"/>
      <c r="WEX23" s="7"/>
      <c r="WEY23" s="6"/>
      <c r="WEZ23" s="7"/>
      <c r="WFA23" s="8"/>
      <c r="WFB23" s="6"/>
      <c r="WFC23" s="8"/>
      <c r="WFD23" s="6"/>
      <c r="WFE23" s="8"/>
      <c r="WFF23" s="8"/>
      <c r="WFG23" s="6"/>
      <c r="WFH23" s="6"/>
      <c r="WFI23" s="8"/>
      <c r="WFJ23" s="8"/>
      <c r="WFK23" s="8"/>
      <c r="WFL23" s="28"/>
      <c r="WFM23" s="7"/>
      <c r="WFN23" s="8"/>
      <c r="WFO23" s="7"/>
      <c r="WFP23" s="7"/>
      <c r="WFQ23" s="6"/>
      <c r="WFR23" s="7"/>
      <c r="WFS23" s="8"/>
      <c r="WFT23" s="6"/>
      <c r="WFU23" s="8"/>
      <c r="WFV23" s="6"/>
      <c r="WFW23" s="8"/>
      <c r="WFX23" s="8"/>
      <c r="WFY23" s="6"/>
      <c r="WFZ23" s="6"/>
      <c r="WGA23" s="8"/>
      <c r="WGB23" s="8"/>
      <c r="WGC23" s="8"/>
      <c r="WGD23" s="28"/>
      <c r="WGE23" s="7"/>
      <c r="WGF23" s="8"/>
      <c r="WGG23" s="7"/>
      <c r="WGH23" s="7"/>
      <c r="WGI23" s="6"/>
      <c r="WGJ23" s="7"/>
      <c r="WGK23" s="8"/>
      <c r="WGL23" s="6"/>
      <c r="WGM23" s="8"/>
      <c r="WGN23" s="6"/>
      <c r="WGO23" s="8"/>
      <c r="WGP23" s="8"/>
      <c r="WGQ23" s="6"/>
      <c r="WGR23" s="6"/>
      <c r="WGS23" s="8"/>
      <c r="WGT23" s="8"/>
      <c r="WGU23" s="8"/>
      <c r="WGV23" s="28"/>
      <c r="WGW23" s="7"/>
      <c r="WGX23" s="8"/>
      <c r="WGY23" s="7"/>
      <c r="WGZ23" s="7"/>
      <c r="WHA23" s="6"/>
      <c r="WHB23" s="7"/>
      <c r="WHC23" s="8"/>
      <c r="WHD23" s="6"/>
      <c r="WHE23" s="8"/>
      <c r="WHF23" s="6"/>
      <c r="WHG23" s="8"/>
      <c r="WHH23" s="8"/>
      <c r="WHI23" s="6"/>
      <c r="WHJ23" s="6"/>
      <c r="WHK23" s="8"/>
      <c r="WHL23" s="8"/>
      <c r="WHM23" s="8"/>
      <c r="WHN23" s="28"/>
      <c r="WHO23" s="7"/>
      <c r="WHP23" s="8"/>
      <c r="WHQ23" s="7"/>
      <c r="WHR23" s="7"/>
      <c r="WHS23" s="6"/>
      <c r="WHT23" s="7"/>
      <c r="WHU23" s="8"/>
      <c r="WHV23" s="6"/>
      <c r="WHW23" s="8"/>
      <c r="WHX23" s="6"/>
      <c r="WHY23" s="8"/>
      <c r="WHZ23" s="8"/>
      <c r="WIA23" s="6"/>
      <c r="WIB23" s="6"/>
      <c r="WIC23" s="8"/>
      <c r="WID23" s="8"/>
      <c r="WIE23" s="8"/>
      <c r="WIF23" s="28"/>
      <c r="WIG23" s="7"/>
      <c r="WIH23" s="8"/>
      <c r="WII23" s="7"/>
      <c r="WIJ23" s="7"/>
      <c r="WIK23" s="6"/>
      <c r="WIL23" s="7"/>
      <c r="WIM23" s="8"/>
      <c r="WIN23" s="6"/>
      <c r="WIO23" s="8"/>
      <c r="WIP23" s="6"/>
      <c r="WIQ23" s="8"/>
      <c r="WIR23" s="8"/>
      <c r="WIS23" s="6"/>
      <c r="WIT23" s="6"/>
      <c r="WIU23" s="8"/>
      <c r="WIV23" s="8"/>
      <c r="WIW23" s="8"/>
      <c r="WIX23" s="28"/>
      <c r="WIY23" s="7"/>
      <c r="WIZ23" s="8"/>
      <c r="WJA23" s="7"/>
      <c r="WJB23" s="7"/>
      <c r="WJC23" s="6"/>
      <c r="WJD23" s="7"/>
      <c r="WJE23" s="8"/>
      <c r="WJF23" s="6"/>
      <c r="WJG23" s="8"/>
      <c r="WJH23" s="6"/>
      <c r="WJI23" s="8"/>
      <c r="WJJ23" s="8"/>
      <c r="WJK23" s="6"/>
      <c r="WJL23" s="6"/>
      <c r="WJM23" s="8"/>
      <c r="WJN23" s="8"/>
      <c r="WJO23" s="8"/>
      <c r="WJP23" s="28"/>
      <c r="WJQ23" s="7"/>
      <c r="WJR23" s="8"/>
      <c r="WJS23" s="7"/>
      <c r="WJT23" s="7"/>
      <c r="WJU23" s="6"/>
      <c r="WJV23" s="7"/>
      <c r="WJW23" s="8"/>
      <c r="WJX23" s="6"/>
      <c r="WJY23" s="8"/>
      <c r="WJZ23" s="6"/>
      <c r="WKA23" s="8"/>
      <c r="WKB23" s="8"/>
      <c r="WKC23" s="6"/>
      <c r="WKD23" s="6"/>
      <c r="WKE23" s="8"/>
      <c r="WKF23" s="8"/>
      <c r="WKG23" s="8"/>
      <c r="WKH23" s="28"/>
      <c r="WKI23" s="7"/>
      <c r="WKJ23" s="8"/>
      <c r="WKK23" s="7"/>
      <c r="WKL23" s="7"/>
      <c r="WKM23" s="6"/>
      <c r="WKN23" s="7"/>
      <c r="WKO23" s="8"/>
      <c r="WKP23" s="6"/>
      <c r="WKQ23" s="8"/>
      <c r="WKR23" s="6"/>
      <c r="WKS23" s="8"/>
      <c r="WKT23" s="8"/>
      <c r="WKU23" s="6"/>
      <c r="WKV23" s="6"/>
      <c r="WKW23" s="8"/>
      <c r="WKX23" s="8"/>
      <c r="WKY23" s="8"/>
      <c r="WKZ23" s="28"/>
      <c r="WLA23" s="7"/>
      <c r="WLB23" s="8"/>
      <c r="WLC23" s="7"/>
      <c r="WLD23" s="7"/>
      <c r="WLE23" s="6"/>
      <c r="WLF23" s="7"/>
      <c r="WLG23" s="8"/>
      <c r="WLH23" s="6"/>
      <c r="WLI23" s="8"/>
      <c r="WLJ23" s="6"/>
      <c r="WLK23" s="8"/>
      <c r="WLL23" s="8"/>
      <c r="WLM23" s="6"/>
      <c r="WLN23" s="6"/>
      <c r="WLO23" s="8"/>
      <c r="WLP23" s="8"/>
      <c r="WLQ23" s="8"/>
      <c r="WLR23" s="28"/>
      <c r="WLS23" s="7"/>
      <c r="WLT23" s="8"/>
      <c r="WLU23" s="7"/>
      <c r="WLV23" s="7"/>
      <c r="WLW23" s="6"/>
      <c r="WLX23" s="7"/>
      <c r="WLY23" s="8"/>
      <c r="WLZ23" s="6"/>
      <c r="WMA23" s="8"/>
      <c r="WMB23" s="6"/>
      <c r="WMC23" s="8"/>
      <c r="WMD23" s="8"/>
      <c r="WME23" s="6"/>
      <c r="WMF23" s="6"/>
      <c r="WMG23" s="8"/>
      <c r="WMH23" s="8"/>
      <c r="WMI23" s="8"/>
      <c r="WMJ23" s="28"/>
      <c r="WMK23" s="7"/>
      <c r="WML23" s="8"/>
      <c r="WMM23" s="7"/>
      <c r="WMN23" s="7"/>
      <c r="WMO23" s="6"/>
      <c r="WMP23" s="7"/>
      <c r="WMQ23" s="8"/>
      <c r="WMR23" s="6"/>
      <c r="WMS23" s="8"/>
      <c r="WMT23" s="6"/>
      <c r="WMU23" s="8"/>
      <c r="WMV23" s="8"/>
      <c r="WMW23" s="6"/>
      <c r="WMX23" s="6"/>
      <c r="WMY23" s="8"/>
      <c r="WMZ23" s="8"/>
      <c r="WNA23" s="8"/>
      <c r="WNB23" s="28"/>
      <c r="WNC23" s="7"/>
      <c r="WND23" s="8"/>
      <c r="WNE23" s="7"/>
      <c r="WNF23" s="7"/>
      <c r="WNG23" s="6"/>
      <c r="WNH23" s="7"/>
      <c r="WNI23" s="8"/>
      <c r="WNJ23" s="6"/>
      <c r="WNK23" s="8"/>
      <c r="WNL23" s="6"/>
      <c r="WNM23" s="8"/>
      <c r="WNN23" s="8"/>
      <c r="WNO23" s="6"/>
      <c r="WNP23" s="6"/>
      <c r="WNQ23" s="8"/>
      <c r="WNR23" s="8"/>
      <c r="WNS23" s="8"/>
      <c r="WNT23" s="28"/>
      <c r="WNU23" s="7"/>
      <c r="WNV23" s="8"/>
      <c r="WNW23" s="7"/>
      <c r="WNX23" s="7"/>
      <c r="WNY23" s="6"/>
      <c r="WNZ23" s="7"/>
      <c r="WOA23" s="8"/>
      <c r="WOB23" s="6"/>
      <c r="WOC23" s="8"/>
      <c r="WOD23" s="6"/>
      <c r="WOE23" s="8"/>
      <c r="WOF23" s="8"/>
      <c r="WOG23" s="6"/>
      <c r="WOH23" s="6"/>
      <c r="WOI23" s="8"/>
      <c r="WOJ23" s="8"/>
      <c r="WOK23" s="8"/>
      <c r="WOL23" s="28"/>
      <c r="WOM23" s="7"/>
      <c r="WON23" s="8"/>
      <c r="WOO23" s="7"/>
      <c r="WOP23" s="7"/>
      <c r="WOQ23" s="6"/>
      <c r="WOR23" s="7"/>
      <c r="WOS23" s="8"/>
      <c r="WOT23" s="6"/>
      <c r="WOU23" s="8"/>
      <c r="WOV23" s="6"/>
      <c r="WOW23" s="8"/>
      <c r="WOX23" s="8"/>
      <c r="WOY23" s="6"/>
      <c r="WOZ23" s="6"/>
      <c r="WPA23" s="8"/>
      <c r="WPB23" s="8"/>
      <c r="WPC23" s="8"/>
      <c r="WPD23" s="28"/>
      <c r="WPE23" s="7"/>
      <c r="WPF23" s="8"/>
      <c r="WPG23" s="7"/>
      <c r="WPH23" s="7"/>
      <c r="WPI23" s="6"/>
      <c r="WPJ23" s="7"/>
      <c r="WPK23" s="8"/>
      <c r="WPL23" s="6"/>
      <c r="WPM23" s="8"/>
      <c r="WPN23" s="6"/>
      <c r="WPO23" s="8"/>
      <c r="WPP23" s="8"/>
      <c r="WPQ23" s="6"/>
      <c r="WPR23" s="6"/>
      <c r="WPS23" s="8"/>
      <c r="WPT23" s="8"/>
      <c r="WPU23" s="8"/>
      <c r="WPV23" s="28"/>
      <c r="WPW23" s="7"/>
      <c r="WPX23" s="8"/>
      <c r="WPY23" s="7"/>
      <c r="WPZ23" s="7"/>
      <c r="WQA23" s="6"/>
      <c r="WQB23" s="7"/>
      <c r="WQC23" s="8"/>
      <c r="WQD23" s="6"/>
      <c r="WQE23" s="8"/>
      <c r="WQF23" s="6"/>
      <c r="WQG23" s="8"/>
      <c r="WQH23" s="8"/>
      <c r="WQI23" s="6"/>
      <c r="WQJ23" s="6"/>
      <c r="WQK23" s="8"/>
      <c r="WQL23" s="8"/>
      <c r="WQM23" s="8"/>
      <c r="WQN23" s="28"/>
      <c r="WQO23" s="7"/>
      <c r="WQP23" s="8"/>
      <c r="WQQ23" s="7"/>
      <c r="WQR23" s="7"/>
      <c r="WQS23" s="6"/>
      <c r="WQT23" s="7"/>
      <c r="WQU23" s="8"/>
      <c r="WQV23" s="6"/>
      <c r="WQW23" s="8"/>
      <c r="WQX23" s="6"/>
      <c r="WQY23" s="8"/>
      <c r="WQZ23" s="8"/>
      <c r="WRA23" s="6"/>
      <c r="WRB23" s="6"/>
      <c r="WRC23" s="8"/>
      <c r="WRD23" s="8"/>
      <c r="WRE23" s="8"/>
      <c r="WRF23" s="28"/>
      <c r="WRG23" s="7"/>
      <c r="WRH23" s="8"/>
      <c r="WRI23" s="7"/>
      <c r="WRJ23" s="7"/>
      <c r="WRK23" s="6"/>
      <c r="WRL23" s="7"/>
      <c r="WRM23" s="8"/>
      <c r="WRN23" s="6"/>
      <c r="WRO23" s="8"/>
      <c r="WRP23" s="6"/>
      <c r="WRQ23" s="8"/>
      <c r="WRR23" s="8"/>
      <c r="WRS23" s="6"/>
      <c r="WRT23" s="6"/>
      <c r="WRU23" s="8"/>
      <c r="WRV23" s="8"/>
      <c r="WRW23" s="8"/>
      <c r="WRX23" s="28"/>
      <c r="WRY23" s="7"/>
      <c r="WRZ23" s="8"/>
      <c r="WSA23" s="7"/>
      <c r="WSB23" s="7"/>
      <c r="WSC23" s="6"/>
      <c r="WSD23" s="7"/>
      <c r="WSE23" s="8"/>
      <c r="WSF23" s="6"/>
      <c r="WSG23" s="8"/>
      <c r="WSH23" s="6"/>
      <c r="WSI23" s="8"/>
      <c r="WSJ23" s="8"/>
      <c r="WSK23" s="6"/>
      <c r="WSL23" s="6"/>
      <c r="WSM23" s="8"/>
      <c r="WSN23" s="8"/>
      <c r="WSO23" s="8"/>
      <c r="WSP23" s="28"/>
      <c r="WSQ23" s="7"/>
      <c r="WSR23" s="8"/>
      <c r="WSS23" s="7"/>
      <c r="WST23" s="7"/>
      <c r="WSU23" s="6"/>
      <c r="WSV23" s="7"/>
      <c r="WSW23" s="8"/>
      <c r="WSX23" s="6"/>
      <c r="WSY23" s="8"/>
      <c r="WSZ23" s="6"/>
      <c r="WTA23" s="8"/>
      <c r="WTB23" s="8"/>
      <c r="WTC23" s="6"/>
      <c r="WTD23" s="6"/>
      <c r="WTE23" s="8"/>
      <c r="WTF23" s="8"/>
      <c r="WTG23" s="8"/>
      <c r="WTH23" s="28"/>
      <c r="WTI23" s="7"/>
      <c r="WTJ23" s="8"/>
      <c r="WTK23" s="7"/>
      <c r="WTL23" s="7"/>
      <c r="WTM23" s="6"/>
      <c r="WTN23" s="7"/>
      <c r="WTO23" s="8"/>
      <c r="WTP23" s="6"/>
      <c r="WTQ23" s="8"/>
      <c r="WTR23" s="6"/>
      <c r="WTS23" s="8"/>
      <c r="WTT23" s="8"/>
      <c r="WTU23" s="6"/>
      <c r="WTV23" s="6"/>
      <c r="WTW23" s="8"/>
      <c r="WTX23" s="8"/>
      <c r="WTY23" s="8"/>
      <c r="WTZ23" s="28"/>
      <c r="WUA23" s="7"/>
      <c r="WUB23" s="8"/>
      <c r="WUC23" s="7"/>
      <c r="WUD23" s="7"/>
      <c r="WUE23" s="6"/>
      <c r="WUF23" s="7"/>
      <c r="WUG23" s="8"/>
      <c r="WUH23" s="6"/>
      <c r="WUI23" s="8"/>
      <c r="WUJ23" s="6"/>
      <c r="WUK23" s="8"/>
      <c r="WUL23" s="8"/>
      <c r="WUM23" s="6"/>
      <c r="WUN23" s="6"/>
      <c r="WUO23" s="8"/>
      <c r="WUP23" s="8"/>
      <c r="WUQ23" s="8"/>
      <c r="WUR23" s="28"/>
      <c r="WUS23" s="7"/>
      <c r="WUT23" s="8"/>
      <c r="WUU23" s="7"/>
      <c r="WUV23" s="7"/>
      <c r="WUW23" s="6"/>
      <c r="WUX23" s="7"/>
      <c r="WUY23" s="8"/>
      <c r="WUZ23" s="6"/>
      <c r="WVA23" s="8"/>
      <c r="WVB23" s="6"/>
      <c r="WVC23" s="8"/>
      <c r="WVD23" s="8"/>
      <c r="WVE23" s="6"/>
      <c r="WVF23" s="6"/>
      <c r="WVG23" s="8"/>
      <c r="WVH23" s="8"/>
      <c r="WVI23" s="8"/>
      <c r="WVJ23" s="28"/>
      <c r="WVK23" s="7"/>
      <c r="WVL23" s="8"/>
      <c r="WVM23" s="7"/>
      <c r="WVN23" s="7"/>
      <c r="WVO23" s="6"/>
      <c r="WVP23" s="7"/>
      <c r="WVQ23" s="8"/>
      <c r="WVR23" s="6"/>
      <c r="WVS23" s="8"/>
      <c r="WVT23" s="6"/>
      <c r="WVU23" s="8"/>
      <c r="WVV23" s="8"/>
      <c r="WVW23" s="6"/>
      <c r="WVX23" s="6"/>
      <c r="WVY23" s="8"/>
      <c r="WVZ23" s="8"/>
      <c r="WWA23" s="8"/>
      <c r="WWB23" s="28"/>
      <c r="WWC23" s="7"/>
      <c r="WWD23" s="8"/>
      <c r="WWE23" s="7"/>
      <c r="WWF23" s="7"/>
      <c r="WWG23" s="6"/>
      <c r="WWH23" s="7"/>
      <c r="WWI23" s="8"/>
      <c r="WWJ23" s="6"/>
      <c r="WWK23" s="8"/>
      <c r="WWL23" s="6"/>
      <c r="WWM23" s="8"/>
      <c r="WWN23" s="8"/>
      <c r="WWO23" s="6"/>
      <c r="WWP23" s="6"/>
      <c r="WWQ23" s="8"/>
      <c r="WWR23" s="8"/>
      <c r="WWS23" s="8"/>
      <c r="WWT23" s="28"/>
      <c r="WWU23" s="7"/>
      <c r="WWV23" s="8"/>
      <c r="WWW23" s="7"/>
      <c r="WWX23" s="7"/>
      <c r="WWY23" s="6"/>
      <c r="WWZ23" s="7"/>
      <c r="WXA23" s="8"/>
      <c r="WXB23" s="6"/>
      <c r="WXC23" s="8"/>
      <c r="WXD23" s="6"/>
      <c r="WXE23" s="8"/>
      <c r="WXF23" s="8"/>
      <c r="WXG23" s="6"/>
      <c r="WXH23" s="6"/>
      <c r="WXI23" s="8"/>
      <c r="WXJ23" s="8"/>
      <c r="WXK23" s="8"/>
      <c r="WXL23" s="28"/>
      <c r="WXM23" s="7"/>
      <c r="WXN23" s="8"/>
      <c r="WXO23" s="7"/>
      <c r="WXP23" s="7"/>
      <c r="WXQ23" s="6"/>
      <c r="WXR23" s="7"/>
      <c r="WXS23" s="8"/>
      <c r="WXT23" s="6"/>
      <c r="WXU23" s="8"/>
      <c r="WXV23" s="6"/>
      <c r="WXW23" s="8"/>
      <c r="WXX23" s="8"/>
      <c r="WXY23" s="6"/>
      <c r="WXZ23" s="6"/>
      <c r="WYA23" s="8"/>
      <c r="WYB23" s="8"/>
      <c r="WYC23" s="8"/>
      <c r="WYD23" s="28"/>
      <c r="WYE23" s="7"/>
      <c r="WYF23" s="8"/>
      <c r="WYG23" s="7"/>
      <c r="WYH23" s="7"/>
      <c r="WYI23" s="6"/>
      <c r="WYJ23" s="7"/>
      <c r="WYK23" s="8"/>
      <c r="WYL23" s="6"/>
      <c r="WYM23" s="8"/>
      <c r="WYN23" s="6"/>
      <c r="WYO23" s="8"/>
      <c r="WYP23" s="8"/>
      <c r="WYQ23" s="6"/>
      <c r="WYR23" s="6"/>
      <c r="WYS23" s="8"/>
      <c r="WYT23" s="8"/>
      <c r="WYU23" s="8"/>
      <c r="WYV23" s="28"/>
      <c r="WYW23" s="7"/>
      <c r="WYX23" s="8"/>
      <c r="WYY23" s="7"/>
      <c r="WYZ23" s="7"/>
      <c r="WZA23" s="6"/>
      <c r="WZB23" s="7"/>
      <c r="WZC23" s="8"/>
      <c r="WZD23" s="6"/>
      <c r="WZE23" s="8"/>
      <c r="WZF23" s="6"/>
      <c r="WZG23" s="8"/>
      <c r="WZH23" s="8"/>
      <c r="WZI23" s="6"/>
      <c r="WZJ23" s="6"/>
      <c r="WZK23" s="8"/>
      <c r="WZL23" s="8"/>
      <c r="WZM23" s="8"/>
      <c r="WZN23" s="28"/>
      <c r="WZO23" s="7"/>
      <c r="WZP23" s="8"/>
      <c r="WZQ23" s="7"/>
      <c r="WZR23" s="7"/>
      <c r="WZS23" s="6"/>
      <c r="WZT23" s="7"/>
      <c r="WZU23" s="8"/>
      <c r="WZV23" s="6"/>
      <c r="WZW23" s="8"/>
      <c r="WZX23" s="6"/>
      <c r="WZY23" s="8"/>
      <c r="WZZ23" s="8"/>
      <c r="XAA23" s="6"/>
      <c r="XAB23" s="6"/>
      <c r="XAC23" s="8"/>
      <c r="XAD23" s="8"/>
      <c r="XAE23" s="8"/>
      <c r="XAF23" s="28"/>
      <c r="XAG23" s="7"/>
      <c r="XAH23" s="8"/>
      <c r="XAI23" s="7"/>
      <c r="XAJ23" s="7"/>
      <c r="XAK23" s="6"/>
      <c r="XAL23" s="7"/>
      <c r="XAM23" s="8"/>
      <c r="XAN23" s="6"/>
      <c r="XAO23" s="8"/>
      <c r="XAP23" s="6"/>
      <c r="XAQ23" s="8"/>
      <c r="XAR23" s="8"/>
      <c r="XAS23" s="6"/>
      <c r="XAT23" s="6"/>
      <c r="XAU23" s="8"/>
      <c r="XAV23" s="8"/>
      <c r="XAW23" s="8"/>
      <c r="XAX23" s="28"/>
      <c r="XAY23" s="7"/>
      <c r="XAZ23" s="8"/>
      <c r="XBA23" s="7"/>
      <c r="XBB23" s="7"/>
      <c r="XBC23" s="6"/>
      <c r="XBD23" s="7"/>
      <c r="XBE23" s="8"/>
      <c r="XBF23" s="6"/>
      <c r="XBG23" s="8"/>
      <c r="XBH23" s="6"/>
      <c r="XBI23" s="8"/>
      <c r="XBJ23" s="8"/>
      <c r="XBK23" s="6"/>
      <c r="XBL23" s="6"/>
      <c r="XBM23" s="8"/>
      <c r="XBN23" s="8"/>
      <c r="XBO23" s="8"/>
      <c r="XBP23" s="28"/>
      <c r="XBQ23" s="7"/>
      <c r="XBR23" s="8"/>
      <c r="XBS23" s="7"/>
      <c r="XBT23" s="7"/>
      <c r="XBU23" s="6"/>
      <c r="XBV23" s="7"/>
      <c r="XBW23" s="8"/>
      <c r="XBX23" s="6"/>
      <c r="XBY23" s="8"/>
      <c r="XBZ23" s="6"/>
      <c r="XCA23" s="8"/>
      <c r="XCB23" s="8"/>
      <c r="XCC23" s="6"/>
      <c r="XCD23" s="6"/>
      <c r="XCE23" s="8"/>
      <c r="XCF23" s="8"/>
      <c r="XCG23" s="8"/>
      <c r="XCH23" s="28"/>
      <c r="XCI23" s="7"/>
      <c r="XCJ23" s="8"/>
      <c r="XCK23" s="7"/>
      <c r="XCL23" s="7"/>
      <c r="XCM23" s="6"/>
      <c r="XCN23" s="7"/>
      <c r="XCO23" s="8"/>
      <c r="XCP23" s="6"/>
      <c r="XCQ23" s="8"/>
      <c r="XCR23" s="6"/>
      <c r="XCS23" s="8"/>
      <c r="XCT23" s="8"/>
      <c r="XCU23" s="6"/>
      <c r="XCV23" s="6"/>
      <c r="XCW23" s="8"/>
      <c r="XCX23" s="8"/>
      <c r="XCY23" s="8"/>
      <c r="XCZ23" s="28"/>
      <c r="XDA23" s="7"/>
      <c r="XDB23" s="8"/>
      <c r="XDC23" s="7"/>
      <c r="XDD23" s="7"/>
      <c r="XDE23" s="6"/>
      <c r="XDF23" s="7"/>
      <c r="XDG23" s="8"/>
      <c r="XDH23" s="6"/>
      <c r="XDI23" s="8"/>
      <c r="XDJ23" s="6"/>
      <c r="XDK23" s="8"/>
      <c r="XDL23" s="8"/>
      <c r="XDM23" s="6"/>
      <c r="XDN23" s="6"/>
      <c r="XDO23" s="8"/>
      <c r="XDP23" s="8"/>
      <c r="XDQ23" s="8"/>
      <c r="XDR23" s="28"/>
      <c r="XDS23" s="7"/>
      <c r="XDT23" s="8"/>
      <c r="XDU23" s="7"/>
      <c r="XDV23" s="7"/>
      <c r="XDW23" s="6"/>
      <c r="XDX23" s="7"/>
      <c r="XDY23" s="8"/>
      <c r="XDZ23" s="6"/>
      <c r="XEA23" s="8"/>
      <c r="XEB23" s="6"/>
      <c r="XEC23" s="8"/>
      <c r="XED23" s="8"/>
      <c r="XEE23" s="6"/>
      <c r="XEF23" s="6"/>
      <c r="XEG23" s="8"/>
      <c r="XEH23" s="8"/>
      <c r="XEI23" s="8"/>
      <c r="XEJ23" s="28"/>
      <c r="XEK23" s="7"/>
      <c r="XEL23" s="8"/>
      <c r="XEM23" s="7"/>
      <c r="XEN23" s="7"/>
      <c r="XEO23" s="6"/>
      <c r="XEP23" s="7"/>
      <c r="XEQ23" s="8"/>
      <c r="XER23" s="6"/>
      <c r="XES23" s="8"/>
      <c r="XET23" s="6"/>
      <c r="XEU23" s="8"/>
      <c r="XEV23" s="8"/>
      <c r="XEW23" s="6"/>
      <c r="XEX23" s="6"/>
      <c r="XEY23" s="8"/>
      <c r="XEZ23" s="8"/>
      <c r="XFA23" s="8"/>
      <c r="XFB23" s="28"/>
      <c r="XFC23" s="7"/>
      <c r="XFD23" s="8"/>
    </row>
    <row r="24" spans="1:16384" ht="15.5" x14ac:dyDescent="0.35">
      <c r="A24" s="22" t="s">
        <v>163</v>
      </c>
      <c r="B24" s="37">
        <f t="shared" ref="B24:B29" si="14">+B23</f>
        <v>2025</v>
      </c>
      <c r="C24" s="24">
        <v>0</v>
      </c>
      <c r="D24" s="36">
        <f t="shared" si="2"/>
        <v>201978213.37999997</v>
      </c>
      <c r="E24" s="24">
        <f t="shared" si="3"/>
        <v>1683152</v>
      </c>
      <c r="F24" s="24">
        <v>0</v>
      </c>
      <c r="G24" s="36">
        <f t="shared" si="4"/>
        <v>9150219.2100000009</v>
      </c>
      <c r="H24" s="24">
        <f>'Monthly Revenue Req.(EE&amp;C-1_p2)'!AM131</f>
        <v>270353.48666666669</v>
      </c>
      <c r="I24" s="24">
        <f t="shared" si="0"/>
        <v>0</v>
      </c>
      <c r="J24" s="36">
        <f t="shared" si="5"/>
        <v>211128432.59</v>
      </c>
      <c r="K24" s="24">
        <f t="shared" si="6"/>
        <v>1953505.4866666668</v>
      </c>
      <c r="L24" s="36">
        <f t="shared" si="7"/>
        <v>30555441.428333338</v>
      </c>
      <c r="M24" s="24">
        <f t="shared" si="8"/>
        <v>0</v>
      </c>
      <c r="N24" s="24">
        <f t="shared" si="9"/>
        <v>-549130.39230200008</v>
      </c>
      <c r="O24" s="36">
        <f t="shared" si="10"/>
        <v>50759067.354829237</v>
      </c>
      <c r="P24" s="24">
        <f t="shared" si="11"/>
        <v>129813923.80683742</v>
      </c>
      <c r="Q24" s="24">
        <f t="shared" si="13"/>
        <v>1010110.92</v>
      </c>
      <c r="R24" s="24">
        <v>818669.98</v>
      </c>
      <c r="S24" s="24">
        <f t="shared" si="12"/>
        <v>3782286.3866666667</v>
      </c>
    </row>
    <row r="25" spans="1:16384" ht="15.5" x14ac:dyDescent="0.35">
      <c r="A25" s="22" t="s">
        <v>164</v>
      </c>
      <c r="B25" s="37">
        <f t="shared" si="14"/>
        <v>2025</v>
      </c>
      <c r="C25" s="24">
        <v>0</v>
      </c>
      <c r="D25" s="36">
        <f t="shared" si="2"/>
        <v>201978213.37999997</v>
      </c>
      <c r="E25" s="24">
        <f t="shared" si="3"/>
        <v>1683152</v>
      </c>
      <c r="F25" s="24">
        <v>0</v>
      </c>
      <c r="G25" s="36">
        <f t="shared" si="4"/>
        <v>9150219.2100000009</v>
      </c>
      <c r="H25" s="24">
        <f>'Monthly Revenue Req.(EE&amp;C-1_p2)'!AM132</f>
        <v>289526.56</v>
      </c>
      <c r="I25" s="24">
        <f t="shared" si="0"/>
        <v>0</v>
      </c>
      <c r="J25" s="36">
        <f t="shared" si="5"/>
        <v>211128432.59</v>
      </c>
      <c r="K25" s="24">
        <f t="shared" si="6"/>
        <v>1972678.56</v>
      </c>
      <c r="L25" s="36">
        <f t="shared" si="7"/>
        <v>32528119.988333337</v>
      </c>
      <c r="M25" s="24">
        <f t="shared" si="8"/>
        <v>0</v>
      </c>
      <c r="N25" s="24">
        <f t="shared" si="9"/>
        <v>-554519.9432160001</v>
      </c>
      <c r="O25" s="36">
        <f t="shared" si="10"/>
        <v>50204547.411613233</v>
      </c>
      <c r="P25" s="24">
        <f t="shared" si="11"/>
        <v>128395765.19005343</v>
      </c>
      <c r="Q25" s="24">
        <f t="shared" si="13"/>
        <v>999075.91</v>
      </c>
      <c r="R25" s="24">
        <v>818669.98</v>
      </c>
      <c r="S25" s="24">
        <f t="shared" si="12"/>
        <v>3790424.45</v>
      </c>
    </row>
    <row r="26" spans="1:16384" ht="15.5" x14ac:dyDescent="0.35">
      <c r="A26" s="22" t="s">
        <v>165</v>
      </c>
      <c r="B26" s="37">
        <f t="shared" si="14"/>
        <v>2025</v>
      </c>
      <c r="C26" s="24">
        <v>0</v>
      </c>
      <c r="D26" s="36">
        <f t="shared" si="2"/>
        <v>201978213.37999997</v>
      </c>
      <c r="E26" s="24">
        <f t="shared" si="3"/>
        <v>1683152</v>
      </c>
      <c r="F26" s="24">
        <v>0</v>
      </c>
      <c r="G26" s="36">
        <f t="shared" si="4"/>
        <v>9150219.2100000009</v>
      </c>
      <c r="H26" s="24">
        <f>'Monthly Revenue Req.(EE&amp;C-1_p2)'!AM133</f>
        <v>306044.72166666668</v>
      </c>
      <c r="I26" s="24">
        <f t="shared" si="0"/>
        <v>0</v>
      </c>
      <c r="J26" s="36">
        <f t="shared" si="5"/>
        <v>211128432.59</v>
      </c>
      <c r="K26" s="24">
        <f t="shared" si="6"/>
        <v>1989196.7216666667</v>
      </c>
      <c r="L26" s="36">
        <f t="shared" si="7"/>
        <v>34517316.710000001</v>
      </c>
      <c r="M26" s="24">
        <f t="shared" si="8"/>
        <v>0</v>
      </c>
      <c r="N26" s="24">
        <f t="shared" si="9"/>
        <v>-559163.19846049999</v>
      </c>
      <c r="O26" s="36">
        <f t="shared" si="10"/>
        <v>49645384.213152736</v>
      </c>
      <c r="P26" s="24">
        <f t="shared" si="11"/>
        <v>126965731.66684726</v>
      </c>
      <c r="Q26" s="24">
        <f t="shared" si="13"/>
        <v>987948.5</v>
      </c>
      <c r="R26" s="24">
        <v>818669.98</v>
      </c>
      <c r="S26" s="24">
        <f t="shared" si="12"/>
        <v>3795815.2016666667</v>
      </c>
    </row>
    <row r="27" spans="1:16384" ht="15.5" x14ac:dyDescent="0.35">
      <c r="A27" s="22" t="s">
        <v>166</v>
      </c>
      <c r="B27" s="37">
        <f t="shared" si="14"/>
        <v>2025</v>
      </c>
      <c r="C27" s="24">
        <v>0</v>
      </c>
      <c r="D27" s="36">
        <f t="shared" si="2"/>
        <v>201978213.37999997</v>
      </c>
      <c r="E27" s="24">
        <f t="shared" si="3"/>
        <v>1683152</v>
      </c>
      <c r="F27" s="24">
        <v>0</v>
      </c>
      <c r="G27" s="36">
        <f t="shared" si="4"/>
        <v>9150219.2100000009</v>
      </c>
      <c r="H27" s="24">
        <f>'Monthly Revenue Req.(EE&amp;C-1_p2)'!AM134</f>
        <v>324701.08750000002</v>
      </c>
      <c r="I27" s="24">
        <f t="shared" si="0"/>
        <v>0</v>
      </c>
      <c r="J27" s="36">
        <f t="shared" si="5"/>
        <v>211128432.59</v>
      </c>
      <c r="K27" s="24">
        <f t="shared" si="6"/>
        <v>2007853.0874999999</v>
      </c>
      <c r="L27" s="36">
        <f t="shared" si="7"/>
        <v>36525169.797499999</v>
      </c>
      <c r="M27" s="24">
        <f t="shared" si="8"/>
        <v>0</v>
      </c>
      <c r="N27" s="24">
        <f t="shared" si="9"/>
        <v>-564407.50289624999</v>
      </c>
      <c r="O27" s="36">
        <f t="shared" si="10"/>
        <v>49080976.710256487</v>
      </c>
      <c r="P27" s="24">
        <f t="shared" si="11"/>
        <v>125522286.08224353</v>
      </c>
      <c r="Q27" s="24">
        <f t="shared" si="13"/>
        <v>976716.73</v>
      </c>
      <c r="R27" s="24">
        <v>818669.98</v>
      </c>
      <c r="S27" s="24">
        <f t="shared" si="12"/>
        <v>3803239.7974999999</v>
      </c>
    </row>
    <row r="28" spans="1:16384" ht="15.5" x14ac:dyDescent="0.35">
      <c r="A28" s="22" t="s">
        <v>167</v>
      </c>
      <c r="B28" s="37">
        <f t="shared" si="14"/>
        <v>2025</v>
      </c>
      <c r="C28" s="24">
        <v>0</v>
      </c>
      <c r="D28" s="24">
        <f t="shared" si="2"/>
        <v>201978213.37999997</v>
      </c>
      <c r="E28" s="24">
        <f t="shared" si="3"/>
        <v>1683152</v>
      </c>
      <c r="F28" s="24">
        <v>0</v>
      </c>
      <c r="G28" s="24">
        <f t="shared" si="4"/>
        <v>9150219.2100000009</v>
      </c>
      <c r="H28" s="24">
        <f>'Monthly Revenue Req.(EE&amp;C-1_p2)'!AM135</f>
        <v>317174.79583333334</v>
      </c>
      <c r="I28" s="25">
        <f t="shared" si="0"/>
        <v>0</v>
      </c>
      <c r="J28" s="24">
        <f t="shared" si="5"/>
        <v>211128432.59</v>
      </c>
      <c r="K28" s="25">
        <f t="shared" si="6"/>
        <v>2000326.7958333334</v>
      </c>
      <c r="L28" s="24">
        <f>K28+L27</f>
        <v>38525496.593333334</v>
      </c>
      <c r="M28" s="25">
        <f t="shared" si="8"/>
        <v>0</v>
      </c>
      <c r="N28" s="25">
        <f t="shared" si="9"/>
        <v>-562291.86230875005</v>
      </c>
      <c r="O28" s="24">
        <f t="shared" si="10"/>
        <v>48518684.847947739</v>
      </c>
      <c r="P28" s="24">
        <f t="shared" si="11"/>
        <v>124084251.14871892</v>
      </c>
      <c r="Q28" s="24">
        <f t="shared" si="13"/>
        <v>965527.07</v>
      </c>
      <c r="R28" s="24">
        <v>818669.98</v>
      </c>
      <c r="S28" s="25">
        <f t="shared" si="12"/>
        <v>3784523.8458333332</v>
      </c>
    </row>
    <row r="29" spans="1:16384" ht="16" thickBot="1" x14ac:dyDescent="0.4">
      <c r="A29" s="37" t="s">
        <v>149</v>
      </c>
      <c r="B29" s="37">
        <f t="shared" si="14"/>
        <v>2025</v>
      </c>
      <c r="C29" s="255">
        <f>SUM(C23:C28)</f>
        <v>0</v>
      </c>
      <c r="D29" s="31"/>
      <c r="E29" s="255">
        <f>SUM(E23:E28)</f>
        <v>10098912</v>
      </c>
      <c r="F29" s="255">
        <f>SUM(F23:F28)</f>
        <v>0</v>
      </c>
      <c r="G29" s="31"/>
      <c r="H29" s="255">
        <f>SUM(H23:H28)</f>
        <v>1761087.8533333335</v>
      </c>
      <c r="I29" s="255">
        <f>SUM(I23:I28)</f>
        <v>0</v>
      </c>
      <c r="J29" s="38"/>
      <c r="K29" s="255">
        <f>SUM(K23:K28)</f>
        <v>11859999.853333332</v>
      </c>
      <c r="L29" s="38"/>
      <c r="M29" s="255">
        <f>SUM(M23:M28)</f>
        <v>0</v>
      </c>
      <c r="N29" s="255">
        <f t="shared" si="9"/>
        <v>-3333845.9587719999</v>
      </c>
      <c r="O29" s="31"/>
      <c r="P29" s="31"/>
      <c r="Q29" s="255">
        <f>SUM(Q23:Q28)</f>
        <v>5960417.8000000007</v>
      </c>
      <c r="R29" s="255">
        <f>SUM(R23:R28)</f>
        <v>4912019.88</v>
      </c>
      <c r="S29" s="255">
        <f>SUM(S23:S28)</f>
        <v>22732437.533333331</v>
      </c>
    </row>
    <row r="30" spans="1:16384" ht="16" thickTop="1" x14ac:dyDescent="0.35">
      <c r="E30" s="24"/>
      <c r="G30" s="24"/>
    </row>
    <row r="31" spans="1:16384" ht="15.5" x14ac:dyDescent="0.35">
      <c r="E31" s="24"/>
      <c r="G31" s="24"/>
    </row>
    <row r="32" spans="1:16384" ht="15.5" x14ac:dyDescent="0.35">
      <c r="E32" s="24"/>
      <c r="G32" s="24"/>
    </row>
    <row r="33" spans="3:8" x14ac:dyDescent="0.35">
      <c r="C33" s="8"/>
      <c r="D33" s="8"/>
      <c r="E33" s="8"/>
      <c r="F33" s="8"/>
      <c r="G33" s="8"/>
      <c r="H33" s="8"/>
    </row>
    <row r="34" spans="3:8" x14ac:dyDescent="0.35">
      <c r="C34" s="8"/>
      <c r="D34" s="8"/>
      <c r="E34" s="8"/>
      <c r="F34" s="8"/>
      <c r="G34" s="8"/>
      <c r="H34" s="8"/>
    </row>
    <row r="35" spans="3:8" x14ac:dyDescent="0.35">
      <c r="C35" s="8"/>
      <c r="D35" s="8"/>
      <c r="E35" s="8"/>
      <c r="F35" s="8"/>
      <c r="G35" s="8"/>
      <c r="H35" s="8"/>
    </row>
    <row r="36" spans="3:8" x14ac:dyDescent="0.35">
      <c r="C36" s="8"/>
      <c r="D36" s="8"/>
      <c r="E36" s="8"/>
      <c r="F36" s="8"/>
      <c r="G36" s="8"/>
      <c r="H36" s="8"/>
    </row>
    <row r="37" spans="3:8" x14ac:dyDescent="0.35">
      <c r="C37" s="8"/>
      <c r="D37" s="8"/>
      <c r="E37" s="8"/>
      <c r="F37" s="8"/>
      <c r="G37" s="8"/>
      <c r="H37" s="8"/>
    </row>
    <row r="38" spans="3:8" x14ac:dyDescent="0.35">
      <c r="C38" s="8"/>
      <c r="D38" s="8"/>
      <c r="E38" s="8"/>
      <c r="F38" s="8"/>
      <c r="G38" s="8"/>
      <c r="H38" s="8"/>
    </row>
    <row r="39" spans="3:8" x14ac:dyDescent="0.35">
      <c r="D39" s="8"/>
      <c r="E39" s="8"/>
      <c r="F39" s="8"/>
      <c r="G39" s="8"/>
      <c r="H39" s="8"/>
    </row>
  </sheetData>
  <pageMargins left="0.7" right="0.7" top="0.75" bottom="0.75" header="0.3" footer="0.3"/>
  <pageSetup scale="47"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C4CE-9A3C-4C51-8D74-2A9D622C5C9C}">
  <sheetPr codeName="Sheet15"/>
  <dimension ref="A1:AH451"/>
  <sheetViews>
    <sheetView workbookViewId="0">
      <pane xSplit="2" ySplit="7" topLeftCell="P14" activePane="bottomRight" state="frozen"/>
      <selection pane="topRight" activeCell="C1" sqref="C1"/>
      <selection pane="bottomLeft" activeCell="A8" sqref="A8"/>
      <selection pane="bottomRight" activeCell="AH34" sqref="AH34"/>
    </sheetView>
  </sheetViews>
  <sheetFormatPr defaultRowHeight="14.5" x14ac:dyDescent="0.35"/>
  <cols>
    <col min="3" max="3" width="11.54296875" bestFit="1" customWidth="1"/>
    <col min="4" max="4" width="10.54296875" bestFit="1" customWidth="1"/>
    <col min="5" max="6" width="14.26953125" style="6" bestFit="1" customWidth="1"/>
    <col min="7" max="7" width="12.54296875" style="6" bestFit="1" customWidth="1"/>
    <col min="8" max="8" width="15.26953125" style="6" bestFit="1" customWidth="1"/>
    <col min="9" max="10" width="11.54296875" bestFit="1" customWidth="1"/>
    <col min="11" max="11" width="10.54296875" bestFit="1" customWidth="1"/>
    <col min="12" max="12" width="12.54296875" bestFit="1" customWidth="1"/>
    <col min="13" max="13" width="9.26953125" bestFit="1" customWidth="1"/>
    <col min="14" max="14" width="12.54296875" bestFit="1" customWidth="1"/>
    <col min="15" max="16" width="11.54296875" bestFit="1" customWidth="1"/>
    <col min="17" max="17" width="10.1796875" bestFit="1" customWidth="1"/>
    <col min="18" max="18" width="11.54296875" bestFit="1" customWidth="1"/>
    <col min="19" max="19" width="10.54296875" bestFit="1" customWidth="1"/>
    <col min="20" max="20" width="11.54296875" bestFit="1" customWidth="1"/>
    <col min="21" max="21" width="10.54296875" bestFit="1" customWidth="1"/>
    <col min="22" max="22" width="8.453125" bestFit="1" customWidth="1"/>
    <col min="23" max="23" width="11.54296875" bestFit="1" customWidth="1"/>
    <col min="24" max="24" width="10.54296875" bestFit="1" customWidth="1"/>
    <col min="25" max="25" width="11.54296875" bestFit="1" customWidth="1"/>
    <col min="26" max="27" width="10.54296875" bestFit="1" customWidth="1"/>
    <col min="28" max="28" width="10.1796875" bestFit="1" customWidth="1"/>
    <col min="29" max="30" width="11.54296875" bestFit="1" customWidth="1"/>
    <col min="31" max="32" width="10.54296875" bestFit="1" customWidth="1"/>
    <col min="33" max="33" width="11.453125" bestFit="1" customWidth="1"/>
    <col min="34" max="34" width="14.54296875" bestFit="1" customWidth="1"/>
  </cols>
  <sheetData>
    <row r="1" spans="1:33" x14ac:dyDescent="0.35">
      <c r="A1" s="3" t="s">
        <v>473</v>
      </c>
      <c r="B1" s="3"/>
      <c r="C1" s="3"/>
      <c r="H1" s="17"/>
    </row>
    <row r="2" spans="1:33" x14ac:dyDescent="0.35">
      <c r="A2" s="3" t="s">
        <v>542</v>
      </c>
      <c r="H2" s="17"/>
    </row>
    <row r="3" spans="1:33" x14ac:dyDescent="0.35">
      <c r="A3" s="3" t="s">
        <v>545</v>
      </c>
    </row>
    <row r="5" spans="1:33" ht="30" customHeight="1" thickBot="1" x14ac:dyDescent="0.4"/>
    <row r="6" spans="1:33" ht="15.75" customHeight="1" thickBot="1" x14ac:dyDescent="0.4">
      <c r="A6" s="549" t="s">
        <v>321</v>
      </c>
      <c r="B6" s="551" t="s">
        <v>546</v>
      </c>
      <c r="C6" s="553" t="s">
        <v>547</v>
      </c>
      <c r="D6" s="554"/>
      <c r="E6" s="554"/>
      <c r="F6" s="554"/>
      <c r="G6" s="554"/>
      <c r="H6" s="555"/>
      <c r="I6" s="553" t="s">
        <v>548</v>
      </c>
      <c r="J6" s="554"/>
      <c r="K6" s="554"/>
      <c r="L6" s="554"/>
      <c r="M6" s="554"/>
      <c r="N6" s="554"/>
      <c r="O6" s="554"/>
      <c r="P6" s="554"/>
      <c r="Q6" s="554"/>
      <c r="R6" s="554"/>
      <c r="S6" s="555"/>
      <c r="T6" s="553" t="s">
        <v>549</v>
      </c>
      <c r="U6" s="554"/>
      <c r="V6" s="554"/>
      <c r="W6" s="554"/>
      <c r="X6" s="554"/>
      <c r="Y6" s="554"/>
      <c r="Z6" s="554"/>
      <c r="AA6" s="554"/>
      <c r="AB6" s="554"/>
      <c r="AC6" s="554"/>
      <c r="AD6" s="554"/>
      <c r="AE6" s="555"/>
      <c r="AF6" s="278" t="s">
        <v>550</v>
      </c>
      <c r="AG6" s="548" t="s">
        <v>149</v>
      </c>
    </row>
    <row r="7" spans="1:33" ht="31.5" customHeight="1" thickBot="1" x14ac:dyDescent="0.4">
      <c r="A7" s="550"/>
      <c r="B7" s="552"/>
      <c r="C7" s="278" t="s">
        <v>551</v>
      </c>
      <c r="D7" s="278" t="s">
        <v>552</v>
      </c>
      <c r="E7" s="278" t="s">
        <v>553</v>
      </c>
      <c r="F7" s="278" t="s">
        <v>554</v>
      </c>
      <c r="G7" s="278" t="s">
        <v>555</v>
      </c>
      <c r="H7" s="278" t="s">
        <v>556</v>
      </c>
      <c r="I7" s="278" t="s">
        <v>557</v>
      </c>
      <c r="J7" s="278" t="s">
        <v>558</v>
      </c>
      <c r="K7" s="278" t="s">
        <v>559</v>
      </c>
      <c r="L7" s="278" t="s">
        <v>560</v>
      </c>
      <c r="M7" s="278" t="s">
        <v>561</v>
      </c>
      <c r="N7" s="278" t="s">
        <v>562</v>
      </c>
      <c r="O7" s="278" t="s">
        <v>563</v>
      </c>
      <c r="P7" s="278" t="s">
        <v>564</v>
      </c>
      <c r="Q7" s="278" t="s">
        <v>565</v>
      </c>
      <c r="R7" s="278" t="s">
        <v>566</v>
      </c>
      <c r="S7" s="278" t="s">
        <v>556</v>
      </c>
      <c r="T7" s="278" t="s">
        <v>557</v>
      </c>
      <c r="U7" s="278" t="s">
        <v>558</v>
      </c>
      <c r="V7" s="278" t="s">
        <v>559</v>
      </c>
      <c r="W7" s="278" t="s">
        <v>560</v>
      </c>
      <c r="X7" s="278" t="s">
        <v>561</v>
      </c>
      <c r="Y7" s="278" t="s">
        <v>562</v>
      </c>
      <c r="Z7" s="278" t="s">
        <v>563</v>
      </c>
      <c r="AA7" s="278" t="s">
        <v>564</v>
      </c>
      <c r="AB7" s="278" t="s">
        <v>565</v>
      </c>
      <c r="AC7" s="278" t="s">
        <v>566</v>
      </c>
      <c r="AD7" s="278" t="s">
        <v>567</v>
      </c>
      <c r="AE7" s="278" t="s">
        <v>556</v>
      </c>
      <c r="AF7" s="278" t="s">
        <v>568</v>
      </c>
      <c r="AG7" s="548"/>
    </row>
    <row r="8" spans="1:33" x14ac:dyDescent="0.35">
      <c r="A8" s="279" t="s">
        <v>335</v>
      </c>
      <c r="B8" s="279" t="s">
        <v>569</v>
      </c>
      <c r="C8" s="280">
        <v>507240650.34616631</v>
      </c>
      <c r="D8" s="280">
        <v>79302420.760993809</v>
      </c>
      <c r="E8" s="280">
        <v>1123746.9291645084</v>
      </c>
      <c r="F8" s="280">
        <v>7388846.7169650579</v>
      </c>
      <c r="G8" s="280">
        <v>5723160.726075246</v>
      </c>
      <c r="H8" s="280">
        <v>188647.57080711791</v>
      </c>
      <c r="I8" s="280">
        <v>467932505.34253377</v>
      </c>
      <c r="J8" s="280">
        <v>79897499.740961373</v>
      </c>
      <c r="K8" s="280">
        <v>29895256.23927027</v>
      </c>
      <c r="L8" s="280">
        <v>387370.56200777687</v>
      </c>
      <c r="M8" s="280">
        <v>9770030.6212129015</v>
      </c>
      <c r="N8" s="280">
        <v>103130.41767150091</v>
      </c>
      <c r="O8" s="280">
        <v>53765526.274614736</v>
      </c>
      <c r="P8" s="280">
        <v>955701.48644263227</v>
      </c>
      <c r="Q8" s="280">
        <v>7306422.6424533306</v>
      </c>
      <c r="R8" s="280">
        <v>468270.09426050331</v>
      </c>
      <c r="S8" s="280">
        <v>6098751.8664335543</v>
      </c>
      <c r="T8" s="280">
        <v>29144894.97905647</v>
      </c>
      <c r="U8" s="280">
        <v>42547661.156983949</v>
      </c>
      <c r="V8" s="280">
        <v>4658443.3776419861</v>
      </c>
      <c r="W8" s="280">
        <v>640493.48940216692</v>
      </c>
      <c r="X8" s="280">
        <v>1086658.4003683103</v>
      </c>
      <c r="Y8" s="280">
        <v>897036.52291006024</v>
      </c>
      <c r="Z8" s="280">
        <v>46488770.452378817</v>
      </c>
      <c r="AA8" s="280">
        <v>9403866.7115346827</v>
      </c>
      <c r="AB8" s="280">
        <v>4143145.8263767632</v>
      </c>
      <c r="AC8" s="280">
        <v>2128843.4316332517</v>
      </c>
      <c r="AD8" s="280">
        <v>20543883.297864553</v>
      </c>
      <c r="AE8" s="280">
        <v>184321.71982154369</v>
      </c>
      <c r="AF8" s="280">
        <v>8976676.2227656357</v>
      </c>
      <c r="AG8" s="280">
        <v>1428392633.9267719</v>
      </c>
    </row>
    <row r="9" spans="1:33" x14ac:dyDescent="0.35">
      <c r="A9" s="279" t="s">
        <v>335</v>
      </c>
      <c r="B9" s="279" t="s">
        <v>570</v>
      </c>
      <c r="C9" s="280">
        <v>575027539.0599283</v>
      </c>
      <c r="D9" s="280">
        <v>71758790.1213056</v>
      </c>
      <c r="E9" s="280">
        <v>1047902.200928207</v>
      </c>
      <c r="F9" s="280">
        <v>7869875.1680448363</v>
      </c>
      <c r="G9" s="280">
        <v>5119463.9938643528</v>
      </c>
      <c r="H9" s="280">
        <v>188648.46233527747</v>
      </c>
      <c r="I9" s="280">
        <v>481754041.48434514</v>
      </c>
      <c r="J9" s="280">
        <v>84503525.005094811</v>
      </c>
      <c r="K9" s="280">
        <v>29997060.959985912</v>
      </c>
      <c r="L9" s="280">
        <v>415594.8343871932</v>
      </c>
      <c r="M9" s="280">
        <v>9905215.9640972614</v>
      </c>
      <c r="N9" s="280">
        <v>100881.63932326758</v>
      </c>
      <c r="O9" s="280">
        <v>55718867.303650327</v>
      </c>
      <c r="P9" s="280">
        <v>739841.83326145948</v>
      </c>
      <c r="Q9" s="280">
        <v>7258730.3893954102</v>
      </c>
      <c r="R9" s="280">
        <v>2696844.607715704</v>
      </c>
      <c r="S9" s="280">
        <v>6097738.6933664624</v>
      </c>
      <c r="T9" s="280">
        <v>28257604.875486709</v>
      </c>
      <c r="U9" s="280">
        <v>43437290.957816154</v>
      </c>
      <c r="V9" s="280">
        <v>4729337.0910876123</v>
      </c>
      <c r="W9" s="280">
        <v>754744.35001898045</v>
      </c>
      <c r="X9" s="280">
        <v>2274365.4715832248</v>
      </c>
      <c r="Y9" s="280">
        <v>1137997.8773484055</v>
      </c>
      <c r="Z9" s="280">
        <v>48772743.69543048</v>
      </c>
      <c r="AA9" s="280">
        <v>5248027.0975824678</v>
      </c>
      <c r="AB9" s="280">
        <v>4436426.0546219014</v>
      </c>
      <c r="AC9" s="280">
        <v>2035794.7529630815</v>
      </c>
      <c r="AD9" s="280">
        <v>19042560.974774327</v>
      </c>
      <c r="AE9" s="280">
        <v>184272.14390515734</v>
      </c>
      <c r="AF9" s="280">
        <v>8981571.1677547488</v>
      </c>
      <c r="AG9" s="280">
        <v>1509493298.2314026</v>
      </c>
    </row>
    <row r="10" spans="1:33" x14ac:dyDescent="0.35">
      <c r="A10" s="279" t="s">
        <v>335</v>
      </c>
      <c r="B10" s="279" t="s">
        <v>571</v>
      </c>
      <c r="C10" s="280">
        <v>822180406.36510026</v>
      </c>
      <c r="D10" s="280">
        <v>63072195.319841869</v>
      </c>
      <c r="E10" s="280">
        <v>1121412.8425976476</v>
      </c>
      <c r="F10" s="280">
        <v>9506303.8152039014</v>
      </c>
      <c r="G10" s="280">
        <v>4473054.2847597208</v>
      </c>
      <c r="H10" s="280">
        <v>188626.96742334592</v>
      </c>
      <c r="I10" s="280">
        <v>517788715.6401583</v>
      </c>
      <c r="J10" s="280">
        <v>95619514.293787584</v>
      </c>
      <c r="K10" s="280">
        <v>33575845.072235204</v>
      </c>
      <c r="L10" s="280">
        <v>466688.38419219962</v>
      </c>
      <c r="M10" s="280">
        <v>10026926.823369732</v>
      </c>
      <c r="N10" s="280">
        <v>118051.07859209251</v>
      </c>
      <c r="O10" s="280">
        <v>61624728.861490041</v>
      </c>
      <c r="P10" s="280">
        <v>2004287.4534353293</v>
      </c>
      <c r="Q10" s="280">
        <v>8249793.5882009752</v>
      </c>
      <c r="R10" s="280">
        <v>839024.97421930777</v>
      </c>
      <c r="S10" s="280">
        <v>6095795.0757051175</v>
      </c>
      <c r="T10" s="280">
        <v>25217230.385710366</v>
      </c>
      <c r="U10" s="280">
        <v>41634349.757735752</v>
      </c>
      <c r="V10" s="280">
        <v>4698934.1986542288</v>
      </c>
      <c r="W10" s="280">
        <v>459938.70459393272</v>
      </c>
      <c r="X10" s="280">
        <v>2078968.7694637084</v>
      </c>
      <c r="Y10" s="280">
        <v>1147844.0903275586</v>
      </c>
      <c r="Z10" s="280">
        <v>47470604.020312846</v>
      </c>
      <c r="AA10" s="280">
        <v>13174903.640601845</v>
      </c>
      <c r="AB10" s="280">
        <v>3762091.3495076783</v>
      </c>
      <c r="AC10" s="280">
        <v>1904929.2878396858</v>
      </c>
      <c r="AD10" s="280">
        <v>16953463.921180658</v>
      </c>
      <c r="AE10" s="280">
        <v>184193.2943186191</v>
      </c>
      <c r="AF10" s="280">
        <v>8985641.3937711082</v>
      </c>
      <c r="AG10" s="280">
        <v>1804624463.6543305</v>
      </c>
    </row>
    <row r="11" spans="1:33" x14ac:dyDescent="0.35">
      <c r="A11" s="279" t="s">
        <v>335</v>
      </c>
      <c r="B11" s="279" t="s">
        <v>572</v>
      </c>
      <c r="C11" s="280">
        <v>1123439427.7878127</v>
      </c>
      <c r="D11" s="280">
        <v>72248014.931615159</v>
      </c>
      <c r="E11" s="280">
        <v>1289624.6774850735</v>
      </c>
      <c r="F11" s="280">
        <v>11929102.616855685</v>
      </c>
      <c r="G11" s="280">
        <v>4713142.2275214018</v>
      </c>
      <c r="H11" s="280">
        <v>188581.30225463441</v>
      </c>
      <c r="I11" s="280">
        <v>583306021.02828002</v>
      </c>
      <c r="J11" s="280">
        <v>108243488.65402429</v>
      </c>
      <c r="K11" s="280">
        <v>37177087.648561485</v>
      </c>
      <c r="L11" s="280">
        <v>576603.57278806134</v>
      </c>
      <c r="M11" s="280">
        <v>12243902.927038208</v>
      </c>
      <c r="N11" s="280">
        <v>142490.58397902636</v>
      </c>
      <c r="O11" s="280">
        <v>72968087.922655702</v>
      </c>
      <c r="P11" s="280">
        <v>1230573.9139813043</v>
      </c>
      <c r="Q11" s="280">
        <v>9739449.903018875</v>
      </c>
      <c r="R11" s="280">
        <v>815816.38951070048</v>
      </c>
      <c r="S11" s="280">
        <v>6092926.2741867667</v>
      </c>
      <c r="T11" s="280">
        <v>26604832.617300559</v>
      </c>
      <c r="U11" s="280">
        <v>46518405.615589954</v>
      </c>
      <c r="V11" s="280">
        <v>4185684.7196313497</v>
      </c>
      <c r="W11" s="280">
        <v>-50470.660880745789</v>
      </c>
      <c r="X11" s="280">
        <v>2334564.6045493702</v>
      </c>
      <c r="Y11" s="280">
        <v>1402303.5060264443</v>
      </c>
      <c r="Z11" s="280">
        <v>47564754.246239223</v>
      </c>
      <c r="AA11" s="280">
        <v>8944788.6315888241</v>
      </c>
      <c r="AB11" s="280">
        <v>3600016.8790764646</v>
      </c>
      <c r="AC11" s="280">
        <v>2068518.3238298504</v>
      </c>
      <c r="AD11" s="280">
        <v>16484743.401669329</v>
      </c>
      <c r="AE11" s="280">
        <v>184096.28507483017</v>
      </c>
      <c r="AF11" s="280">
        <v>8988816.9674965441</v>
      </c>
      <c r="AG11" s="280">
        <v>2215175397.4987607</v>
      </c>
    </row>
    <row r="12" spans="1:33" x14ac:dyDescent="0.35">
      <c r="A12" s="279" t="s">
        <v>335</v>
      </c>
      <c r="B12" s="279" t="s">
        <v>573</v>
      </c>
      <c r="C12" s="280">
        <v>1078603580.3357451</v>
      </c>
      <c r="D12" s="280">
        <v>68864305.28045018</v>
      </c>
      <c r="E12" s="280">
        <v>1092655.7373046337</v>
      </c>
      <c r="F12" s="280">
        <v>11189467.610348292</v>
      </c>
      <c r="G12" s="280">
        <v>4384137.2964424957</v>
      </c>
      <c r="H12" s="280">
        <v>188509.45782854548</v>
      </c>
      <c r="I12" s="280">
        <v>599702715.90966856</v>
      </c>
      <c r="J12" s="280">
        <v>103975558.81554458</v>
      </c>
      <c r="K12" s="280">
        <v>37139938.119725764</v>
      </c>
      <c r="L12" s="280">
        <v>499451.41839807743</v>
      </c>
      <c r="M12" s="280">
        <v>11621354.850988265</v>
      </c>
      <c r="N12" s="280">
        <v>155199.9732330062</v>
      </c>
      <c r="O12" s="280">
        <v>67310198.429770008</v>
      </c>
      <c r="P12" s="280">
        <v>813508.94783610175</v>
      </c>
      <c r="Q12" s="280">
        <v>10673336.316840658</v>
      </c>
      <c r="R12" s="280">
        <v>987074.34624017833</v>
      </c>
      <c r="S12" s="280">
        <v>6089038.7606400885</v>
      </c>
      <c r="T12" s="280">
        <v>28525060.621448293</v>
      </c>
      <c r="U12" s="280">
        <v>48367904.916281193</v>
      </c>
      <c r="V12" s="280">
        <v>5202166.4058939638</v>
      </c>
      <c r="W12" s="280">
        <v>1246913.2166634081</v>
      </c>
      <c r="X12" s="280">
        <v>2424135.4376590531</v>
      </c>
      <c r="Y12" s="280">
        <v>3068470.7881901148</v>
      </c>
      <c r="Z12" s="280">
        <v>52054255.175927341</v>
      </c>
      <c r="AA12" s="280">
        <v>9609267.6282969378</v>
      </c>
      <c r="AB12" s="280">
        <v>5410171.8916227147</v>
      </c>
      <c r="AC12" s="280">
        <v>2112248.271118986</v>
      </c>
      <c r="AD12" s="280">
        <v>19192992.005276456</v>
      </c>
      <c r="AE12" s="280">
        <v>183980.52122022334</v>
      </c>
      <c r="AF12" s="280">
        <v>8991022.4790536407</v>
      </c>
      <c r="AG12" s="280">
        <v>2189678620.9656568</v>
      </c>
    </row>
    <row r="13" spans="1:33" x14ac:dyDescent="0.35">
      <c r="A13" s="279" t="s">
        <v>335</v>
      </c>
      <c r="B13" s="279" t="s">
        <v>574</v>
      </c>
      <c r="C13" s="280">
        <v>786169949.79901898</v>
      </c>
      <c r="D13" s="280">
        <v>51510825.797442324</v>
      </c>
      <c r="E13" s="280">
        <v>896433.3855267684</v>
      </c>
      <c r="F13" s="280">
        <v>8283855.2637765342</v>
      </c>
      <c r="G13" s="280">
        <v>3266402.0249741054</v>
      </c>
      <c r="H13" s="280">
        <v>188409.27027448799</v>
      </c>
      <c r="I13" s="280">
        <v>435113526.11857808</v>
      </c>
      <c r="J13" s="280">
        <v>81538911.130660102</v>
      </c>
      <c r="K13" s="280">
        <v>28950404.608614165</v>
      </c>
      <c r="L13" s="280">
        <v>416674.91013322305</v>
      </c>
      <c r="M13" s="280">
        <v>9119339.1442641784</v>
      </c>
      <c r="N13" s="280">
        <v>106189.93277059135</v>
      </c>
      <c r="O13" s="280">
        <v>55295311.829759009</v>
      </c>
      <c r="P13" s="280">
        <v>691918.19700054731</v>
      </c>
      <c r="Q13" s="280">
        <v>7998398.2803861247</v>
      </c>
      <c r="R13" s="280">
        <v>785246.50611539197</v>
      </c>
      <c r="S13" s="280">
        <v>6084336.9011699222</v>
      </c>
      <c r="T13" s="280">
        <v>26328943.010384507</v>
      </c>
      <c r="U13" s="280">
        <v>43272105.740972839</v>
      </c>
      <c r="V13" s="280">
        <v>4776408.0702301515</v>
      </c>
      <c r="W13" s="280">
        <v>635341.32055000658</v>
      </c>
      <c r="X13" s="280">
        <v>2185538.9226453099</v>
      </c>
      <c r="Y13" s="280">
        <v>1155058.5569422804</v>
      </c>
      <c r="Z13" s="280">
        <v>47462234.363507293</v>
      </c>
      <c r="AA13" s="280">
        <v>8499700.5177725814</v>
      </c>
      <c r="AB13" s="280">
        <v>4850525.5508848904</v>
      </c>
      <c r="AC13" s="280">
        <v>1999126.2570116343</v>
      </c>
      <c r="AD13" s="280">
        <v>17529857.332423393</v>
      </c>
      <c r="AE13" s="280">
        <v>183844.44493011062</v>
      </c>
      <c r="AF13" s="280">
        <v>8992175.3495367244</v>
      </c>
      <c r="AG13" s="280">
        <v>1644286992.5382564</v>
      </c>
    </row>
    <row r="14" spans="1:33" x14ac:dyDescent="0.35">
      <c r="A14" s="279" t="s">
        <v>335</v>
      </c>
      <c r="B14" s="279" t="s">
        <v>575</v>
      </c>
      <c r="C14" s="280">
        <v>560860342.75192058</v>
      </c>
      <c r="D14" s="280">
        <v>43065859.533711895</v>
      </c>
      <c r="E14" s="280">
        <v>744784.10452151194</v>
      </c>
      <c r="F14" s="280">
        <v>6377773.9050753312</v>
      </c>
      <c r="G14" s="280">
        <v>2908836.2550671389</v>
      </c>
      <c r="H14" s="280">
        <v>188277.30506529042</v>
      </c>
      <c r="I14" s="280">
        <v>458989764.26358199</v>
      </c>
      <c r="J14" s="280">
        <v>88255183.251836941</v>
      </c>
      <c r="K14" s="280">
        <v>29494477.959517598</v>
      </c>
      <c r="L14" s="280">
        <v>400342.67805269756</v>
      </c>
      <c r="M14" s="280">
        <v>9983460.7292035334</v>
      </c>
      <c r="N14" s="280">
        <v>94139.705877499815</v>
      </c>
      <c r="O14" s="280">
        <v>59216842.366995059</v>
      </c>
      <c r="P14" s="280">
        <v>1116631.7014009021</v>
      </c>
      <c r="Q14" s="280">
        <v>7871907.4077972984</v>
      </c>
      <c r="R14" s="280">
        <v>2763999.4971146667</v>
      </c>
      <c r="S14" s="280">
        <v>6078979.5681757294</v>
      </c>
      <c r="T14" s="280">
        <v>24400603.848966297</v>
      </c>
      <c r="U14" s="280">
        <v>44965559.602621362</v>
      </c>
      <c r="V14" s="280">
        <v>4416458.5145665351</v>
      </c>
      <c r="W14" s="280">
        <v>587770.36627146276</v>
      </c>
      <c r="X14" s="280">
        <v>1977152.9290812553</v>
      </c>
      <c r="Y14" s="280">
        <v>2079884.8382005829</v>
      </c>
      <c r="Z14" s="280">
        <v>46356047.340878941</v>
      </c>
      <c r="AA14" s="280">
        <v>8495236.0488729272</v>
      </c>
      <c r="AB14" s="280">
        <v>4375192.0221885163</v>
      </c>
      <c r="AC14" s="280">
        <v>1905594.6089777695</v>
      </c>
      <c r="AD14" s="280">
        <v>17569178.815397933</v>
      </c>
      <c r="AE14" s="280">
        <v>183686.38042248643</v>
      </c>
      <c r="AF14" s="280">
        <v>8992187.2499266006</v>
      </c>
      <c r="AG14" s="280">
        <v>1444716155.5512886</v>
      </c>
    </row>
    <row r="15" spans="1:33" x14ac:dyDescent="0.35">
      <c r="A15" s="279" t="s">
        <v>335</v>
      </c>
      <c r="B15" s="279" t="s">
        <v>576</v>
      </c>
      <c r="C15" s="280">
        <v>581861760.53774822</v>
      </c>
      <c r="D15" s="280">
        <v>60105513.07357724</v>
      </c>
      <c r="E15" s="280">
        <v>1034893.6820870612</v>
      </c>
      <c r="F15" s="280">
        <v>7368240.6401967183</v>
      </c>
      <c r="G15" s="280">
        <v>4241213.7274339702</v>
      </c>
      <c r="H15" s="280">
        <v>188160.54215778882</v>
      </c>
      <c r="I15" s="280">
        <v>456375931.89857197</v>
      </c>
      <c r="J15" s="280">
        <v>87062814.604560569</v>
      </c>
      <c r="K15" s="280">
        <v>31393761.790441673</v>
      </c>
      <c r="L15" s="280">
        <v>394349.04267433315</v>
      </c>
      <c r="M15" s="280">
        <v>8053916.8576915795</v>
      </c>
      <c r="N15" s="280">
        <v>80302.786336192323</v>
      </c>
      <c r="O15" s="280">
        <v>63377479.778671078</v>
      </c>
      <c r="P15" s="280">
        <v>1437382.7343926618</v>
      </c>
      <c r="Q15" s="280">
        <v>7854044.2821233999</v>
      </c>
      <c r="R15" s="280">
        <v>792393.48644417117</v>
      </c>
      <c r="S15" s="280">
        <v>6074023.2067196518</v>
      </c>
      <c r="T15" s="280">
        <v>24989952.367788013</v>
      </c>
      <c r="U15" s="280">
        <v>43115700.188188225</v>
      </c>
      <c r="V15" s="280">
        <v>4292803.3359768568</v>
      </c>
      <c r="W15" s="280">
        <v>343151.35108904168</v>
      </c>
      <c r="X15" s="280">
        <v>1725891.3485999822</v>
      </c>
      <c r="Y15" s="280">
        <v>1235620.3497414335</v>
      </c>
      <c r="Z15" s="280">
        <v>39485894.015397578</v>
      </c>
      <c r="AA15" s="280">
        <v>9084809.7116967645</v>
      </c>
      <c r="AB15" s="280">
        <v>3513503.5955053847</v>
      </c>
      <c r="AC15" s="280">
        <v>1792721.2812035712</v>
      </c>
      <c r="AD15" s="280">
        <v>19842812.304141633</v>
      </c>
      <c r="AE15" s="280">
        <v>183540.76000513101</v>
      </c>
      <c r="AF15" s="280">
        <v>8991596.1814904679</v>
      </c>
      <c r="AG15" s="280">
        <v>1476294179.4626522</v>
      </c>
    </row>
    <row r="16" spans="1:33" x14ac:dyDescent="0.35">
      <c r="A16" s="279" t="s">
        <v>335</v>
      </c>
      <c r="B16" s="279" t="s">
        <v>577</v>
      </c>
      <c r="C16" s="280">
        <v>728599743.59982204</v>
      </c>
      <c r="D16" s="280">
        <v>103082549.58968154</v>
      </c>
      <c r="E16" s="280">
        <v>1601669.7287116356</v>
      </c>
      <c r="F16" s="280">
        <v>10304392.316627273</v>
      </c>
      <c r="G16" s="280">
        <v>7632101.7904835343</v>
      </c>
      <c r="H16" s="280">
        <v>188238.71983734862</v>
      </c>
      <c r="I16" s="280">
        <v>485170110.97286773</v>
      </c>
      <c r="J16" s="280">
        <v>92117397.457722411</v>
      </c>
      <c r="K16" s="280">
        <v>34475256.877963185</v>
      </c>
      <c r="L16" s="280">
        <v>377709.72162724845</v>
      </c>
      <c r="M16" s="280">
        <v>6494266.8143747831</v>
      </c>
      <c r="N16" s="280">
        <v>110186.85430453786</v>
      </c>
      <c r="O16" s="280">
        <v>72759156.70644249</v>
      </c>
      <c r="P16" s="280">
        <v>1304142.8363409762</v>
      </c>
      <c r="Q16" s="280">
        <v>7679055.8715775488</v>
      </c>
      <c r="R16" s="280">
        <v>351435.66550264898</v>
      </c>
      <c r="S16" s="280">
        <v>6075176.7509011505</v>
      </c>
      <c r="T16" s="280">
        <v>23445663.04718088</v>
      </c>
      <c r="U16" s="280">
        <v>44334441.809825867</v>
      </c>
      <c r="V16" s="280">
        <v>4094433.0416303352</v>
      </c>
      <c r="W16" s="280">
        <v>341037.00241422397</v>
      </c>
      <c r="X16" s="280">
        <v>1442130.3642848118</v>
      </c>
      <c r="Y16" s="280">
        <v>1224356.250576281</v>
      </c>
      <c r="Z16" s="280">
        <v>48944800.214312367</v>
      </c>
      <c r="AA16" s="280">
        <v>8758624.7314320598</v>
      </c>
      <c r="AB16" s="280">
        <v>3869791.8179210592</v>
      </c>
      <c r="AC16" s="280">
        <v>2346990.6673253723</v>
      </c>
      <c r="AD16" s="280">
        <v>17246206.437011689</v>
      </c>
      <c r="AE16" s="280">
        <v>183552.97286105625</v>
      </c>
      <c r="AF16" s="280">
        <v>9003895.8715296313</v>
      </c>
      <c r="AG16" s="280">
        <v>1723558516.5030932</v>
      </c>
    </row>
    <row r="17" spans="1:34" x14ac:dyDescent="0.35">
      <c r="A17" s="279" t="s">
        <v>335</v>
      </c>
      <c r="B17" s="279" t="s">
        <v>578</v>
      </c>
      <c r="C17" s="280">
        <v>722943521.84089708</v>
      </c>
      <c r="D17" s="280">
        <v>120287607.03020103</v>
      </c>
      <c r="E17" s="280">
        <v>1739840.1375898006</v>
      </c>
      <c r="F17" s="280">
        <v>10689983.533772005</v>
      </c>
      <c r="G17" s="280">
        <v>8598994.7963525597</v>
      </c>
      <c r="H17" s="280">
        <v>188154.3010910544</v>
      </c>
      <c r="I17" s="280">
        <v>517473559.76666188</v>
      </c>
      <c r="J17" s="280">
        <v>90999499.989395544</v>
      </c>
      <c r="K17" s="280">
        <v>35737273.744807072</v>
      </c>
      <c r="L17" s="280">
        <v>416864.35043687001</v>
      </c>
      <c r="M17" s="280">
        <v>10876156.449588045</v>
      </c>
      <c r="N17" s="280">
        <v>153081.71111688105</v>
      </c>
      <c r="O17" s="280">
        <v>72428784.582077324</v>
      </c>
      <c r="P17" s="280">
        <v>1272128.1041158482</v>
      </c>
      <c r="Q17" s="280">
        <v>8423920.9978647064</v>
      </c>
      <c r="R17" s="280">
        <v>248158.71981405304</v>
      </c>
      <c r="S17" s="280">
        <v>6071517.4156809561</v>
      </c>
      <c r="T17" s="280">
        <v>25350318.885637458</v>
      </c>
      <c r="U17" s="280">
        <v>42903698.665352225</v>
      </c>
      <c r="V17" s="280">
        <v>4379441.2838604292</v>
      </c>
      <c r="W17" s="280">
        <v>419992.41238324653</v>
      </c>
      <c r="X17" s="280">
        <v>1717668.7539392402</v>
      </c>
      <c r="Y17" s="280">
        <v>1273614.4781184529</v>
      </c>
      <c r="Z17" s="280">
        <v>44464617.721466005</v>
      </c>
      <c r="AA17" s="280">
        <v>17482570.032944229</v>
      </c>
      <c r="AB17" s="280">
        <v>4369331.8147528591</v>
      </c>
      <c r="AC17" s="280">
        <v>2137680.7836622819</v>
      </c>
      <c r="AD17" s="280">
        <v>18246628.894610565</v>
      </c>
      <c r="AE17" s="280">
        <v>183436.37806892072</v>
      </c>
      <c r="AF17" s="280">
        <v>9004173.1476427782</v>
      </c>
      <c r="AG17" s="281">
        <v>1780482220.7239015</v>
      </c>
    </row>
    <row r="18" spans="1:34" x14ac:dyDescent="0.35">
      <c r="A18" s="279" t="s">
        <v>335</v>
      </c>
      <c r="B18" s="279" t="s">
        <v>579</v>
      </c>
      <c r="C18" s="280">
        <v>611477140.59704792</v>
      </c>
      <c r="D18" s="280">
        <v>113128575.55725414</v>
      </c>
      <c r="E18" s="280">
        <v>1461456.438423842</v>
      </c>
      <c r="F18" s="280">
        <v>9413568.9728649892</v>
      </c>
      <c r="G18" s="280">
        <v>8113660.271565252</v>
      </c>
      <c r="H18" s="280">
        <v>188089.03591779864</v>
      </c>
      <c r="I18" s="280">
        <v>504593803.56078053</v>
      </c>
      <c r="J18" s="280">
        <v>78006862.549384832</v>
      </c>
      <c r="K18" s="280">
        <v>31504942.18255901</v>
      </c>
      <c r="L18" s="280">
        <v>336043.73467058543</v>
      </c>
      <c r="M18" s="280">
        <v>9334640.3490884062</v>
      </c>
      <c r="N18" s="280">
        <v>119198.99206290577</v>
      </c>
      <c r="O18" s="280">
        <v>63430495.875022098</v>
      </c>
      <c r="P18" s="280">
        <v>2780725.178692928</v>
      </c>
      <c r="Q18" s="280">
        <v>7575649.8175655277</v>
      </c>
      <c r="R18" s="280">
        <v>245681.72011251762</v>
      </c>
      <c r="S18" s="280">
        <v>6068398.949020192</v>
      </c>
      <c r="T18" s="280">
        <v>27077124.983290948</v>
      </c>
      <c r="U18" s="280">
        <v>40564062.881657109</v>
      </c>
      <c r="V18" s="280">
        <v>4506279.0906821955</v>
      </c>
      <c r="W18" s="280">
        <v>665910.31112950761</v>
      </c>
      <c r="X18" s="280">
        <v>1923711.227047035</v>
      </c>
      <c r="Y18" s="280">
        <v>1176738.5830347</v>
      </c>
      <c r="Z18" s="280">
        <v>41238252.017387226</v>
      </c>
      <c r="AA18" s="280">
        <v>14453286.269693395</v>
      </c>
      <c r="AB18" s="280">
        <v>4427456.0295793982</v>
      </c>
      <c r="AC18" s="280">
        <v>1859229.4169707585</v>
      </c>
      <c r="AD18" s="280">
        <v>19153254.793576784</v>
      </c>
      <c r="AE18" s="280">
        <v>183335.65153367654</v>
      </c>
      <c r="AF18" s="280">
        <v>9005709.3086154647</v>
      </c>
      <c r="AG18" s="281">
        <v>1614013284.3462315</v>
      </c>
    </row>
    <row r="19" spans="1:34" x14ac:dyDescent="0.35">
      <c r="A19" s="279" t="s">
        <v>335</v>
      </c>
      <c r="B19" s="279" t="s">
        <v>580</v>
      </c>
      <c r="C19" s="280">
        <v>557074868.00370085</v>
      </c>
      <c r="D19" s="280">
        <v>102890566.17284305</v>
      </c>
      <c r="E19" s="280">
        <v>1473893.8738053837</v>
      </c>
      <c r="F19" s="280">
        <v>8611565.6608260386</v>
      </c>
      <c r="G19" s="280">
        <v>7137294.9802296711</v>
      </c>
      <c r="H19" s="280">
        <v>188044.49419412907</v>
      </c>
      <c r="I19" s="280">
        <v>491507459.97534066</v>
      </c>
      <c r="J19" s="280">
        <v>71965221.725072652</v>
      </c>
      <c r="K19" s="280">
        <v>26852510.151361719</v>
      </c>
      <c r="L19" s="280">
        <v>292684.40935194574</v>
      </c>
      <c r="M19" s="280">
        <v>7525812.2917513084</v>
      </c>
      <c r="N19" s="280">
        <v>100372.30032056374</v>
      </c>
      <c r="O19" s="280">
        <v>51236261.429902472</v>
      </c>
      <c r="P19" s="280">
        <v>1317254.0775767928</v>
      </c>
      <c r="Q19" s="280">
        <v>5847522.3037235765</v>
      </c>
      <c r="R19" s="280">
        <v>156395.12855873379</v>
      </c>
      <c r="S19" s="280">
        <v>6065865.3784383871</v>
      </c>
      <c r="T19" s="280">
        <v>32264132.106961805</v>
      </c>
      <c r="U19" s="280">
        <v>47696686.926940076</v>
      </c>
      <c r="V19" s="280">
        <v>4574748.1780856354</v>
      </c>
      <c r="W19" s="280">
        <v>649642.61527658731</v>
      </c>
      <c r="X19" s="280">
        <v>2183655.2621322945</v>
      </c>
      <c r="Y19" s="280">
        <v>1350264.3070928038</v>
      </c>
      <c r="Z19" s="280">
        <v>47001878.693452716</v>
      </c>
      <c r="AA19" s="280">
        <v>15518519.823193362</v>
      </c>
      <c r="AB19" s="280">
        <v>4950904.3452114519</v>
      </c>
      <c r="AC19" s="280">
        <v>2012638.3943936441</v>
      </c>
      <c r="AD19" s="280">
        <v>12095072.308333443</v>
      </c>
      <c r="AE19" s="280">
        <v>183252.08596143674</v>
      </c>
      <c r="AF19" s="280">
        <v>9008610.3862399422</v>
      </c>
      <c r="AG19" s="281">
        <v>1519733597.7902737</v>
      </c>
      <c r="AH19" s="52"/>
    </row>
    <row r="20" spans="1:34" x14ac:dyDescent="0.35">
      <c r="A20" s="279" t="s">
        <v>335</v>
      </c>
      <c r="B20" s="279" t="s">
        <v>581</v>
      </c>
      <c r="C20" s="280">
        <v>526472023.71653634</v>
      </c>
      <c r="D20" s="280">
        <v>82789671.393637225</v>
      </c>
      <c r="E20" s="280">
        <v>1176913.0821721398</v>
      </c>
      <c r="F20" s="280">
        <v>7603130.5708778976</v>
      </c>
      <c r="G20" s="280">
        <v>5870967.6873954535</v>
      </c>
      <c r="H20" s="280">
        <v>187994.45298824587</v>
      </c>
      <c r="I20" s="280">
        <v>451540582.46667129</v>
      </c>
      <c r="J20" s="280">
        <v>77022665.141453877</v>
      </c>
      <c r="K20" s="280">
        <v>28221406.760450553</v>
      </c>
      <c r="L20" s="280">
        <v>369023.69870152342</v>
      </c>
      <c r="M20" s="280">
        <v>9307296.9137875438</v>
      </c>
      <c r="N20" s="280">
        <v>92843.717742292953</v>
      </c>
      <c r="O20" s="280">
        <v>52869996.514037751</v>
      </c>
      <c r="P20" s="280">
        <v>800801.14350593369</v>
      </c>
      <c r="Q20" s="280">
        <v>6922122.7222152706</v>
      </c>
      <c r="R20" s="280">
        <v>587536.88044571457</v>
      </c>
      <c r="S20" s="280">
        <v>6063134.5725403056</v>
      </c>
      <c r="T20" s="280">
        <v>28758779.161245331</v>
      </c>
      <c r="U20" s="280">
        <v>42828431.688356072</v>
      </c>
      <c r="V20" s="280">
        <v>4437476.5121655231</v>
      </c>
      <c r="W20" s="280">
        <v>601651.35732682678</v>
      </c>
      <c r="X20" s="280">
        <v>903214.27086395118</v>
      </c>
      <c r="Y20" s="280">
        <v>899082.21692853316</v>
      </c>
      <c r="Z20" s="280">
        <v>41506089.246215336</v>
      </c>
      <c r="AA20" s="280">
        <v>8910274.8227856774</v>
      </c>
      <c r="AB20" s="280">
        <v>3856919.9147388367</v>
      </c>
      <c r="AC20" s="280">
        <v>1942660.0323146023</v>
      </c>
      <c r="AD20" s="280">
        <v>19813848.183742687</v>
      </c>
      <c r="AE20" s="280">
        <v>183163.45719760939</v>
      </c>
      <c r="AF20" s="280">
        <v>9011281.0835113712</v>
      </c>
      <c r="AG20" s="281">
        <v>1421550983.3825521</v>
      </c>
    </row>
    <row r="21" spans="1:34" x14ac:dyDescent="0.35">
      <c r="A21" s="279" t="s">
        <v>335</v>
      </c>
      <c r="B21" s="279" t="s">
        <v>582</v>
      </c>
      <c r="C21" s="280">
        <v>608377255.19919419</v>
      </c>
      <c r="D21" s="280">
        <v>75363323.684930548</v>
      </c>
      <c r="E21" s="280">
        <v>1082084.1532642243</v>
      </c>
      <c r="F21" s="280">
        <v>8219716.4544876739</v>
      </c>
      <c r="G21" s="280">
        <v>5174213.8173157144</v>
      </c>
      <c r="H21" s="280">
        <v>187940.17666547134</v>
      </c>
      <c r="I21" s="280">
        <v>444642245.35467505</v>
      </c>
      <c r="J21" s="280">
        <v>76539972.150455713</v>
      </c>
      <c r="K21" s="280">
        <v>26942961.063894726</v>
      </c>
      <c r="L21" s="280">
        <v>370292.42902698292</v>
      </c>
      <c r="M21" s="280">
        <v>8825486.2089196574</v>
      </c>
      <c r="N21" s="280">
        <v>81338.577005072846</v>
      </c>
      <c r="O21" s="280">
        <v>50679912.290400706</v>
      </c>
      <c r="P21" s="280">
        <v>918204.25421350892</v>
      </c>
      <c r="Q21" s="280">
        <v>6412083.9794483958</v>
      </c>
      <c r="R21" s="280">
        <v>3198843.3366490612</v>
      </c>
      <c r="S21" s="280">
        <v>6060261.4371156581</v>
      </c>
      <c r="T21" s="280">
        <v>28434040.332917303</v>
      </c>
      <c r="U21" s="280">
        <v>44420567.150339499</v>
      </c>
      <c r="V21" s="280">
        <v>4599461.4406893151</v>
      </c>
      <c r="W21" s="280">
        <v>728883.34553884005</v>
      </c>
      <c r="X21" s="280">
        <v>2229888.8133727014</v>
      </c>
      <c r="Y21" s="280">
        <v>1057148.1363769749</v>
      </c>
      <c r="Z21" s="280">
        <v>44566163.283354238</v>
      </c>
      <c r="AA21" s="280">
        <v>5532614.6123647839</v>
      </c>
      <c r="AB21" s="280">
        <v>4012615.208760953</v>
      </c>
      <c r="AC21" s="280">
        <v>1900689.8654628168</v>
      </c>
      <c r="AD21" s="280">
        <v>19976227.266805615</v>
      </c>
      <c r="AE21" s="280">
        <v>183071.58382544908</v>
      </c>
      <c r="AF21" s="280">
        <v>9013765.744558163</v>
      </c>
      <c r="AG21" s="281">
        <v>1489731271.3520291</v>
      </c>
    </row>
    <row r="22" spans="1:34" x14ac:dyDescent="0.35">
      <c r="A22" s="279" t="s">
        <v>335</v>
      </c>
      <c r="B22" s="279" t="s">
        <v>583</v>
      </c>
      <c r="C22" s="280">
        <v>841496681.63612366</v>
      </c>
      <c r="D22" s="280">
        <v>62652734.532101512</v>
      </c>
      <c r="E22" s="280">
        <v>1130422.5483201561</v>
      </c>
      <c r="F22" s="280">
        <v>9563939.9910555929</v>
      </c>
      <c r="G22" s="280">
        <v>4374192.3079785323</v>
      </c>
      <c r="H22" s="280">
        <v>187883.17521532456</v>
      </c>
      <c r="I22" s="280">
        <v>496517910.69469696</v>
      </c>
      <c r="J22" s="280">
        <v>90600607.88355428</v>
      </c>
      <c r="K22" s="280">
        <v>31720441.724661369</v>
      </c>
      <c r="L22" s="280">
        <v>443092.82200956758</v>
      </c>
      <c r="M22" s="280">
        <v>9519969.7544230912</v>
      </c>
      <c r="N22" s="280">
        <v>108837.21512517877</v>
      </c>
      <c r="O22" s="280">
        <v>59323559.973986335</v>
      </c>
      <c r="P22" s="280">
        <v>1406086.225179259</v>
      </c>
      <c r="Q22" s="280">
        <v>7861304.9906405639</v>
      </c>
      <c r="R22" s="280">
        <v>984373.83890424424</v>
      </c>
      <c r="S22" s="280">
        <v>6057311.2655832684</v>
      </c>
      <c r="T22" s="280">
        <v>26296878.23242176</v>
      </c>
      <c r="U22" s="280">
        <v>44094469.82932619</v>
      </c>
      <c r="V22" s="280">
        <v>4984544.5913742771</v>
      </c>
      <c r="W22" s="280">
        <v>373967.93878914486</v>
      </c>
      <c r="X22" s="280">
        <v>2000595.6961408383</v>
      </c>
      <c r="Y22" s="280">
        <v>1166908.5944566724</v>
      </c>
      <c r="Z22" s="280">
        <v>47903307.836089142</v>
      </c>
      <c r="AA22" s="280">
        <v>12891480.726684179</v>
      </c>
      <c r="AB22" s="280">
        <v>3736591.2992945421</v>
      </c>
      <c r="AC22" s="280">
        <v>1884724.1257266288</v>
      </c>
      <c r="AD22" s="280">
        <v>17495519.908000778</v>
      </c>
      <c r="AE22" s="280">
        <v>182978.61764043738</v>
      </c>
      <c r="AF22" s="280">
        <v>9016117.8093725275</v>
      </c>
      <c r="AG22" s="281">
        <v>1795977435.7848756</v>
      </c>
      <c r="AH22" s="106">
        <f>SUM(AG17:AG22)</f>
        <v>9621488793.3798637</v>
      </c>
    </row>
    <row r="23" spans="1:34" x14ac:dyDescent="0.35">
      <c r="A23" s="279" t="s">
        <v>335</v>
      </c>
      <c r="B23" s="279" t="s">
        <v>584</v>
      </c>
      <c r="C23" s="280">
        <v>1133081124.7298982</v>
      </c>
      <c r="D23" s="280">
        <v>72800433.356540352</v>
      </c>
      <c r="E23" s="280">
        <v>1297169.4216561678</v>
      </c>
      <c r="F23" s="280">
        <v>11913973.449463153</v>
      </c>
      <c r="G23" s="280">
        <v>4651319.128313439</v>
      </c>
      <c r="H23" s="280">
        <v>187825.23124246151</v>
      </c>
      <c r="I23" s="280">
        <v>564339815.65556216</v>
      </c>
      <c r="J23" s="280">
        <v>106198223.37692744</v>
      </c>
      <c r="K23" s="280">
        <v>35020630.421102285</v>
      </c>
      <c r="L23" s="280">
        <v>557636.6882760867</v>
      </c>
      <c r="M23" s="280">
        <v>11841150.14548664</v>
      </c>
      <c r="N23" s="280">
        <v>128967.91406943148</v>
      </c>
      <c r="O23" s="280">
        <v>73343168.262686715</v>
      </c>
      <c r="P23" s="280">
        <v>1013271.6954018631</v>
      </c>
      <c r="Q23" s="280">
        <v>9404939.690067932</v>
      </c>
      <c r="R23" s="280">
        <v>632358.67890907719</v>
      </c>
      <c r="S23" s="280">
        <v>6054354.2946156831</v>
      </c>
      <c r="T23" s="280">
        <v>28619681.663140647</v>
      </c>
      <c r="U23" s="280">
        <v>51601255.149118796</v>
      </c>
      <c r="V23" s="280">
        <v>4218501.1599192936</v>
      </c>
      <c r="W23" s="280">
        <v>-383556.50102720666</v>
      </c>
      <c r="X23" s="280">
        <v>2443787.5227448074</v>
      </c>
      <c r="Y23" s="280">
        <v>1436063.8303552596</v>
      </c>
      <c r="Z23" s="280">
        <v>50328682.8007771</v>
      </c>
      <c r="AA23" s="280">
        <v>9715053.9395547658</v>
      </c>
      <c r="AB23" s="280">
        <v>3494682.9054456847</v>
      </c>
      <c r="AC23" s="280">
        <v>2147084.0136891492</v>
      </c>
      <c r="AD23" s="280">
        <v>16634649.9623142</v>
      </c>
      <c r="AE23" s="280">
        <v>182885.97602941204</v>
      </c>
      <c r="AF23" s="280">
        <v>9018400.9926557951</v>
      </c>
      <c r="AG23" s="281">
        <v>2211923535.5549364</v>
      </c>
    </row>
    <row r="24" spans="1:34" x14ac:dyDescent="0.35">
      <c r="A24" s="279" t="s">
        <v>335</v>
      </c>
      <c r="B24" s="279" t="s">
        <v>585</v>
      </c>
      <c r="C24" s="280">
        <v>1039032966.5005779</v>
      </c>
      <c r="D24" s="280">
        <v>66402457.170223974</v>
      </c>
      <c r="E24" s="280">
        <v>1036697.3338689494</v>
      </c>
      <c r="F24" s="280">
        <v>10666380.906063052</v>
      </c>
      <c r="G24" s="280">
        <v>4127854.7754001259</v>
      </c>
      <c r="H24" s="280">
        <v>187768.44173935568</v>
      </c>
      <c r="I24" s="280">
        <v>570258702.4276067</v>
      </c>
      <c r="J24" s="280">
        <v>99534356.60627386</v>
      </c>
      <c r="K24" s="280">
        <v>35205695.090727098</v>
      </c>
      <c r="L24" s="280">
        <v>476220.83919617371</v>
      </c>
      <c r="M24" s="280">
        <v>11080820.187646622</v>
      </c>
      <c r="N24" s="280">
        <v>149216.01760761332</v>
      </c>
      <c r="O24" s="280">
        <v>65105482.080643877</v>
      </c>
      <c r="P24" s="280">
        <v>662062.76224396238</v>
      </c>
      <c r="Q24" s="280">
        <v>9981888.8068466745</v>
      </c>
      <c r="R24" s="280">
        <v>875962.89748454024</v>
      </c>
      <c r="S24" s="280">
        <v>6051474.3031934202</v>
      </c>
      <c r="T24" s="280">
        <v>29187299.433059786</v>
      </c>
      <c r="U24" s="280">
        <v>49519210.738220327</v>
      </c>
      <c r="V24" s="280">
        <v>5296973.6832503174</v>
      </c>
      <c r="W24" s="280">
        <v>1372806.5655885166</v>
      </c>
      <c r="X24" s="280">
        <v>2397436.611302631</v>
      </c>
      <c r="Y24" s="280">
        <v>3666518.9970607385</v>
      </c>
      <c r="Z24" s="280">
        <v>52039092.161966592</v>
      </c>
      <c r="AA24" s="280">
        <v>9488964.4205748644</v>
      </c>
      <c r="AB24" s="280">
        <v>5425697.9405887555</v>
      </c>
      <c r="AC24" s="280">
        <v>2091904.1810617482</v>
      </c>
      <c r="AD24" s="280">
        <v>18106954.826218653</v>
      </c>
      <c r="AE24" s="280">
        <v>182795.24376249654</v>
      </c>
      <c r="AF24" s="280">
        <v>9020690.6103177909</v>
      </c>
      <c r="AG24" s="281">
        <v>2108632352.5603168</v>
      </c>
    </row>
    <row r="25" spans="1:34" x14ac:dyDescent="0.35">
      <c r="A25" s="279" t="s">
        <v>335</v>
      </c>
      <c r="B25" s="279" t="s">
        <v>586</v>
      </c>
      <c r="C25" s="280">
        <v>787353801.48204887</v>
      </c>
      <c r="D25" s="280">
        <v>51430061.841304384</v>
      </c>
      <c r="E25" s="280">
        <v>885616.91027389141</v>
      </c>
      <c r="F25" s="280">
        <v>8213516.6710819574</v>
      </c>
      <c r="G25" s="280">
        <v>3209982.3147436106</v>
      </c>
      <c r="H25" s="280">
        <v>187715.25795528313</v>
      </c>
      <c r="I25" s="280">
        <v>455223355.08779401</v>
      </c>
      <c r="J25" s="280">
        <v>83757225.848211527</v>
      </c>
      <c r="K25" s="280">
        <v>29454353.694844667</v>
      </c>
      <c r="L25" s="280">
        <v>430567.19001329993</v>
      </c>
      <c r="M25" s="280">
        <v>9423385.3170297835</v>
      </c>
      <c r="N25" s="280">
        <v>121359.07392864853</v>
      </c>
      <c r="O25" s="280">
        <v>57387041.104695767</v>
      </c>
      <c r="P25" s="280">
        <v>584561.18972745526</v>
      </c>
      <c r="Q25" s="280">
        <v>8251966.8027667813</v>
      </c>
      <c r="R25" s="280">
        <v>664935.82610758673</v>
      </c>
      <c r="S25" s="280">
        <v>6048745.1635936946</v>
      </c>
      <c r="T25" s="280">
        <v>26499016.17580029</v>
      </c>
      <c r="U25" s="280">
        <v>41896968.921517029</v>
      </c>
      <c r="V25" s="280">
        <v>4571710.8306249101</v>
      </c>
      <c r="W25" s="280">
        <v>576857.50900829886</v>
      </c>
      <c r="X25" s="280">
        <v>2099376.9601523224</v>
      </c>
      <c r="Y25" s="280">
        <v>1072576.4360164483</v>
      </c>
      <c r="Z25" s="280">
        <v>44616045.301236153</v>
      </c>
      <c r="AA25" s="280">
        <v>7882953.4426635196</v>
      </c>
      <c r="AB25" s="280">
        <v>4652761.1953936527</v>
      </c>
      <c r="AC25" s="280">
        <v>1862404.7754589545</v>
      </c>
      <c r="AD25" s="280">
        <v>16648680.386998313</v>
      </c>
      <c r="AE25" s="280">
        <v>182708.26681041784</v>
      </c>
      <c r="AF25" s="280">
        <v>9023075.1692336872</v>
      </c>
      <c r="AG25" s="281">
        <v>1664213326.1470358</v>
      </c>
    </row>
    <row r="26" spans="1:34" x14ac:dyDescent="0.35">
      <c r="A26" s="279" t="s">
        <v>335</v>
      </c>
      <c r="B26" s="279" t="s">
        <v>587</v>
      </c>
      <c r="C26" s="280">
        <v>569662760.60312045</v>
      </c>
      <c r="D26" s="280">
        <v>43726596.485528044</v>
      </c>
      <c r="E26" s="280">
        <v>767957.63596124284</v>
      </c>
      <c r="F26" s="280">
        <v>6405825.3337474139</v>
      </c>
      <c r="G26" s="280">
        <v>2876802.6435669078</v>
      </c>
      <c r="H26" s="280">
        <v>187668.62063524756</v>
      </c>
      <c r="I26" s="280">
        <v>454724231.65688497</v>
      </c>
      <c r="J26" s="280">
        <v>87719613.398139268</v>
      </c>
      <c r="K26" s="280">
        <v>28148982.403769337</v>
      </c>
      <c r="L26" s="280">
        <v>393223.62215992011</v>
      </c>
      <c r="M26" s="280">
        <v>9805930.7809096035</v>
      </c>
      <c r="N26" s="280">
        <v>92482.677567014325</v>
      </c>
      <c r="O26" s="280">
        <v>59868603.225098625</v>
      </c>
      <c r="P26" s="280">
        <v>1072663.8764262216</v>
      </c>
      <c r="Q26" s="280">
        <v>7632463.7425688468</v>
      </c>
      <c r="R26" s="280">
        <v>2295104.7412789133</v>
      </c>
      <c r="S26" s="280">
        <v>6046233.8059231909</v>
      </c>
      <c r="T26" s="280">
        <v>24633530.748092443</v>
      </c>
      <c r="U26" s="280">
        <v>45302257.62375582</v>
      </c>
      <c r="V26" s="280">
        <v>4279339.1728525925</v>
      </c>
      <c r="W26" s="280">
        <v>486555.26543619618</v>
      </c>
      <c r="X26" s="280">
        <v>1954576.9484194159</v>
      </c>
      <c r="Y26" s="280">
        <v>2350504.6840197062</v>
      </c>
      <c r="Z26" s="280">
        <v>46738195.629377283</v>
      </c>
      <c r="AA26" s="280">
        <v>8265418.4195193378</v>
      </c>
      <c r="AB26" s="280">
        <v>4492308.4352586269</v>
      </c>
      <c r="AC26" s="280">
        <v>1848345.1552508925</v>
      </c>
      <c r="AD26" s="280">
        <v>17820921.75637012</v>
      </c>
      <c r="AE26" s="280">
        <v>182627.18498241712</v>
      </c>
      <c r="AF26" s="280">
        <v>9025657.9842392132</v>
      </c>
      <c r="AG26" s="281">
        <v>1448807384.2608588</v>
      </c>
    </row>
    <row r="27" spans="1:34" x14ac:dyDescent="0.35">
      <c r="A27" s="279" t="s">
        <v>335</v>
      </c>
      <c r="B27" s="279" t="s">
        <v>588</v>
      </c>
      <c r="C27" s="280">
        <v>591596012.68274999</v>
      </c>
      <c r="D27" s="280">
        <v>61246537.998932324</v>
      </c>
      <c r="E27" s="280">
        <v>1041159.5711564007</v>
      </c>
      <c r="F27" s="280">
        <v>7449230.9258635873</v>
      </c>
      <c r="G27" s="280">
        <v>4193965.6290362333</v>
      </c>
      <c r="H27" s="280">
        <v>187627.81338438884</v>
      </c>
      <c r="I27" s="280">
        <v>452458087.66586637</v>
      </c>
      <c r="J27" s="280">
        <v>87525993.354293779</v>
      </c>
      <c r="K27" s="280">
        <v>30339307.011137988</v>
      </c>
      <c r="L27" s="280">
        <v>395629.05618124997</v>
      </c>
      <c r="M27" s="280">
        <v>8080058.983691222</v>
      </c>
      <c r="N27" s="280">
        <v>80608.719587900661</v>
      </c>
      <c r="O27" s="280">
        <v>64812381.968996838</v>
      </c>
      <c r="P27" s="280">
        <v>1575346.9664848805</v>
      </c>
      <c r="Q27" s="280">
        <v>7599526.8076017816</v>
      </c>
      <c r="R27" s="280">
        <v>800319.21823738411</v>
      </c>
      <c r="S27" s="280">
        <v>6043925.1416154942</v>
      </c>
      <c r="T27" s="280">
        <v>26343174.250828221</v>
      </c>
      <c r="U27" s="280">
        <v>44127403.095580697</v>
      </c>
      <c r="V27" s="280">
        <v>4483817.1966086412</v>
      </c>
      <c r="W27" s="280">
        <v>213915.96799181466</v>
      </c>
      <c r="X27" s="280">
        <v>1811046.2997657796</v>
      </c>
      <c r="Y27" s="280">
        <v>1350884.9486612866</v>
      </c>
      <c r="Z27" s="280">
        <v>39725065.188135266</v>
      </c>
      <c r="AA27" s="280">
        <v>9373647.8472825028</v>
      </c>
      <c r="AB27" s="280">
        <v>3492247.8331449488</v>
      </c>
      <c r="AC27" s="280">
        <v>1646450.8532626566</v>
      </c>
      <c r="AD27" s="280">
        <v>19863974.047093071</v>
      </c>
      <c r="AE27" s="280">
        <v>182551.45723630488</v>
      </c>
      <c r="AF27" s="280">
        <v>9028506.2803181708</v>
      </c>
      <c r="AG27" s="281">
        <v>1487068404.7807267</v>
      </c>
    </row>
    <row r="28" spans="1:34" x14ac:dyDescent="0.35">
      <c r="A28" s="279" t="s">
        <v>335</v>
      </c>
      <c r="B28" s="279" t="s">
        <v>589</v>
      </c>
      <c r="C28" s="280">
        <v>713815567.87034166</v>
      </c>
      <c r="D28" s="280">
        <v>102287403.09784842</v>
      </c>
      <c r="E28" s="280">
        <v>1571310.8044203445</v>
      </c>
      <c r="F28" s="280">
        <v>10067727.867617723</v>
      </c>
      <c r="G28" s="280">
        <v>7470560.164529535</v>
      </c>
      <c r="H28" s="280">
        <v>187467.05032930392</v>
      </c>
      <c r="I28" s="280">
        <v>484259560.76342112</v>
      </c>
      <c r="J28" s="280">
        <v>93858960.557151169</v>
      </c>
      <c r="K28" s="280">
        <v>34472929.713719234</v>
      </c>
      <c r="L28" s="280">
        <v>390358.62756178208</v>
      </c>
      <c r="M28" s="280">
        <v>6711749.6202048557</v>
      </c>
      <c r="N28" s="280">
        <v>114175.63091738886</v>
      </c>
      <c r="O28" s="280">
        <v>75076702.045251667</v>
      </c>
      <c r="P28" s="280">
        <v>1614782.6977381394</v>
      </c>
      <c r="Q28" s="280">
        <v>7633001.3493736302</v>
      </c>
      <c r="R28" s="280">
        <v>406574.94341886521</v>
      </c>
      <c r="S28" s="280">
        <v>6036851.171493182</v>
      </c>
      <c r="T28" s="280">
        <v>24066394.608751141</v>
      </c>
      <c r="U28" s="280">
        <v>45794426.975798965</v>
      </c>
      <c r="V28" s="280">
        <v>4124671.9933914049</v>
      </c>
      <c r="W28" s="280">
        <v>212887.11460342319</v>
      </c>
      <c r="X28" s="280">
        <v>1385523.4266615934</v>
      </c>
      <c r="Y28" s="280">
        <v>1350554.7847959653</v>
      </c>
      <c r="Z28" s="280">
        <v>50743059.967643626</v>
      </c>
      <c r="AA28" s="280">
        <v>11086770.354875285</v>
      </c>
      <c r="AB28" s="280">
        <v>4037793.135496811</v>
      </c>
      <c r="AC28" s="280">
        <v>2456470.6721836189</v>
      </c>
      <c r="AD28" s="280">
        <v>18168244.434252087</v>
      </c>
      <c r="AE28" s="280">
        <v>182327.38917432408</v>
      </c>
      <c r="AF28" s="280">
        <v>9029827.8306435142</v>
      </c>
      <c r="AG28" s="281">
        <v>1718614636.6636095</v>
      </c>
    </row>
    <row r="29" spans="1:34" x14ac:dyDescent="0.35">
      <c r="A29" s="279" t="s">
        <v>335</v>
      </c>
      <c r="B29" s="279" t="s">
        <v>336</v>
      </c>
      <c r="C29" s="280">
        <v>736426204.50074375</v>
      </c>
      <c r="D29" s="280">
        <v>122186953.78062889</v>
      </c>
      <c r="E29" s="280">
        <v>1763911.8220470925</v>
      </c>
      <c r="F29" s="280">
        <v>10787791.908823466</v>
      </c>
      <c r="G29" s="280">
        <v>8532404.0104388408</v>
      </c>
      <c r="H29" s="280">
        <v>187410.00497296764</v>
      </c>
      <c r="I29" s="280">
        <v>493544174.94742715</v>
      </c>
      <c r="J29" s="280">
        <v>85493147.834712476</v>
      </c>
      <c r="K29" s="280">
        <v>33928509.220743991</v>
      </c>
      <c r="L29" s="280">
        <v>395765.66636261612</v>
      </c>
      <c r="M29" s="280">
        <v>10325683.403304448</v>
      </c>
      <c r="N29" s="280">
        <v>144435.88155568598</v>
      </c>
      <c r="O29" s="280">
        <v>69186027.33659789</v>
      </c>
      <c r="P29" s="280">
        <v>1259252.2558389588</v>
      </c>
      <c r="Q29" s="280">
        <v>7972031.6428397289</v>
      </c>
      <c r="R29" s="280">
        <v>243969.56160560437</v>
      </c>
      <c r="S29" s="280">
        <v>6033972.6774982288</v>
      </c>
      <c r="T29" s="280">
        <v>25856414.599887107</v>
      </c>
      <c r="U29" s="280">
        <v>42037255.892990507</v>
      </c>
      <c r="V29" s="280">
        <v>4367794.7655442934</v>
      </c>
      <c r="W29" s="280">
        <v>243146.12778071986</v>
      </c>
      <c r="X29" s="280">
        <v>1742666.869302304</v>
      </c>
      <c r="Y29" s="280">
        <v>1349159.6176047018</v>
      </c>
      <c r="Z29" s="280">
        <v>43070353.406846412</v>
      </c>
      <c r="AA29" s="280">
        <v>17468705.731831647</v>
      </c>
      <c r="AB29" s="280">
        <v>4445475.8327713385</v>
      </c>
      <c r="AC29" s="280">
        <v>2127013.6579445805</v>
      </c>
      <c r="AD29" s="280">
        <v>18658935.944341388</v>
      </c>
      <c r="AE29" s="280">
        <v>182235.4711636398</v>
      </c>
      <c r="AF29" s="280">
        <v>9031972.6905020587</v>
      </c>
      <c r="AG29" s="281">
        <v>1758992777.0646527</v>
      </c>
    </row>
    <row r="30" spans="1:34" x14ac:dyDescent="0.35">
      <c r="A30" s="279" t="s">
        <v>335</v>
      </c>
      <c r="B30" s="279" t="s">
        <v>337</v>
      </c>
      <c r="C30" s="280">
        <v>609876235.85214019</v>
      </c>
      <c r="D30" s="280">
        <v>112711278.96496378</v>
      </c>
      <c r="E30" s="280">
        <v>1403392.2825214625</v>
      </c>
      <c r="F30" s="280">
        <v>9372963.3762051724</v>
      </c>
      <c r="G30" s="280">
        <v>7882055.7718718378</v>
      </c>
      <c r="H30" s="280">
        <v>187353.64212004549</v>
      </c>
      <c r="I30" s="280">
        <v>469841732.21740592</v>
      </c>
      <c r="J30" s="280">
        <v>70438113.656347439</v>
      </c>
      <c r="K30" s="280">
        <v>28893854.27950801</v>
      </c>
      <c r="L30" s="280">
        <v>308192.8747829519</v>
      </c>
      <c r="M30" s="280">
        <v>8560997.7137964237</v>
      </c>
      <c r="N30" s="280">
        <v>106938.45529535793</v>
      </c>
      <c r="O30" s="280">
        <v>58563817.325680159</v>
      </c>
      <c r="P30" s="280">
        <v>2974066.1552061583</v>
      </c>
      <c r="Q30" s="280">
        <v>6839013.5170248952</v>
      </c>
      <c r="R30" s="280">
        <v>215661.07315547849</v>
      </c>
      <c r="S30" s="280">
        <v>6031114.0627781618</v>
      </c>
      <c r="T30" s="280">
        <v>26929590.917029761</v>
      </c>
      <c r="U30" s="280">
        <v>38463954.262519374</v>
      </c>
      <c r="V30" s="280">
        <v>4250884.7731768219</v>
      </c>
      <c r="W30" s="280">
        <v>645865.24764241592</v>
      </c>
      <c r="X30" s="280">
        <v>1922360.3319985119</v>
      </c>
      <c r="Y30" s="280">
        <v>1220281.3971349623</v>
      </c>
      <c r="Z30" s="280">
        <v>39279444.444469124</v>
      </c>
      <c r="AA30" s="280">
        <v>15009144.905911678</v>
      </c>
      <c r="AB30" s="280">
        <v>4125362.6257521198</v>
      </c>
      <c r="AC30" s="280">
        <v>1787258.0745810096</v>
      </c>
      <c r="AD30" s="280">
        <v>17911258.213901773</v>
      </c>
      <c r="AE30" s="280">
        <v>182144.28223260719</v>
      </c>
      <c r="AF30" s="280">
        <v>9034168.4550069515</v>
      </c>
      <c r="AG30" s="281">
        <v>1554968499.1521611</v>
      </c>
    </row>
    <row r="31" spans="1:34" x14ac:dyDescent="0.35">
      <c r="A31" s="279" t="s">
        <v>335</v>
      </c>
      <c r="B31" s="279" t="s">
        <v>338</v>
      </c>
      <c r="C31" s="280">
        <v>573256440.89707756</v>
      </c>
      <c r="D31" s="280">
        <v>103753063.08666365</v>
      </c>
      <c r="E31" s="280">
        <v>1544461.8074335991</v>
      </c>
      <c r="F31" s="280">
        <v>8821033.0186634716</v>
      </c>
      <c r="G31" s="280">
        <v>7087656.7366844947</v>
      </c>
      <c r="H31" s="280">
        <v>187296.29680637157</v>
      </c>
      <c r="I31" s="280">
        <v>481573070.66855419</v>
      </c>
      <c r="J31" s="280">
        <v>64457903.85755232</v>
      </c>
      <c r="K31" s="280">
        <v>24438825.731101736</v>
      </c>
      <c r="L31" s="280">
        <v>266375.96388730593</v>
      </c>
      <c r="M31" s="280">
        <v>6849341.6088985903</v>
      </c>
      <c r="N31" s="280">
        <v>81453.043457022883</v>
      </c>
      <c r="O31" s="280">
        <v>46990320.548117071</v>
      </c>
      <c r="P31" s="280">
        <v>1278747.6632531751</v>
      </c>
      <c r="Q31" s="280">
        <v>5223460.2408573814</v>
      </c>
      <c r="R31" s="280">
        <v>140743.34992851593</v>
      </c>
      <c r="S31" s="280">
        <v>6028228.5160419485</v>
      </c>
      <c r="T31" s="280">
        <v>34231229.232975058</v>
      </c>
      <c r="U31" s="280">
        <v>46662242.448894888</v>
      </c>
      <c r="V31" s="280">
        <v>4468517.854282015</v>
      </c>
      <c r="W31" s="280">
        <v>637542.93173125607</v>
      </c>
      <c r="X31" s="280">
        <v>2330990.0396017721</v>
      </c>
      <c r="Y31" s="280">
        <v>1436573.4780197376</v>
      </c>
      <c r="Z31" s="280">
        <v>45485261.633218661</v>
      </c>
      <c r="AA31" s="280">
        <v>16278758.070306603</v>
      </c>
      <c r="AB31" s="280">
        <v>4896541.9376766337</v>
      </c>
      <c r="AC31" s="280">
        <v>1900208.3954806065</v>
      </c>
      <c r="AD31" s="280">
        <v>9423689.0195504203</v>
      </c>
      <c r="AE31" s="280">
        <v>182052.45937870553</v>
      </c>
      <c r="AF31" s="280">
        <v>9036305.2532212138</v>
      </c>
      <c r="AG31" s="281">
        <v>1508948335.7893159</v>
      </c>
    </row>
    <row r="32" spans="1:34" x14ac:dyDescent="0.35">
      <c r="A32" s="279" t="s">
        <v>335</v>
      </c>
      <c r="B32" s="279" t="s">
        <v>339</v>
      </c>
      <c r="C32" s="280">
        <v>505507514.07570601</v>
      </c>
      <c r="D32" s="280">
        <v>79569355.864553735</v>
      </c>
      <c r="E32" s="280">
        <v>1152578.7179495315</v>
      </c>
      <c r="F32" s="280">
        <v>7294282.4892002102</v>
      </c>
      <c r="G32" s="280">
        <v>5627387.7252548495</v>
      </c>
      <c r="H32" s="280">
        <v>187238.34446694033</v>
      </c>
      <c r="I32" s="280">
        <v>445866102.18703997</v>
      </c>
      <c r="J32" s="280">
        <v>76538937.71392116</v>
      </c>
      <c r="K32" s="280">
        <v>28042056.888449237</v>
      </c>
      <c r="L32" s="280">
        <v>366678.51606447919</v>
      </c>
      <c r="M32" s="280">
        <v>9248148.1079064216</v>
      </c>
      <c r="N32" s="280">
        <v>95219.259615504852</v>
      </c>
      <c r="O32" s="280">
        <v>53030667.180717796</v>
      </c>
      <c r="P32" s="280">
        <v>1025651.6030849288</v>
      </c>
      <c r="Q32" s="280">
        <v>6832120.2084805341</v>
      </c>
      <c r="R32" s="280">
        <v>593984.82530036499</v>
      </c>
      <c r="S32" s="280">
        <v>6025330.1426721076</v>
      </c>
      <c r="T32" s="280">
        <v>31417083.290905338</v>
      </c>
      <c r="U32" s="280">
        <v>44528101.958282091</v>
      </c>
      <c r="V32" s="280">
        <v>4595695.769307849</v>
      </c>
      <c r="W32" s="280">
        <v>629458.89583044278</v>
      </c>
      <c r="X32" s="280">
        <v>938140.50675846299</v>
      </c>
      <c r="Y32" s="280">
        <v>903052.66328756278</v>
      </c>
      <c r="Z32" s="280">
        <v>43663636.742698617</v>
      </c>
      <c r="AA32" s="280">
        <v>9114700.2531258687</v>
      </c>
      <c r="AB32" s="280">
        <v>4009228.8077271134</v>
      </c>
      <c r="AC32" s="280">
        <v>2006555.2401354464</v>
      </c>
      <c r="AD32" s="280">
        <v>20957806.371371005</v>
      </c>
      <c r="AE32" s="280">
        <v>181960.36963958229</v>
      </c>
      <c r="AF32" s="280">
        <v>9038397.4137848355</v>
      </c>
      <c r="AG32" s="281">
        <v>1398987072.1332376</v>
      </c>
    </row>
    <row r="33" spans="1:34" x14ac:dyDescent="0.35">
      <c r="A33" s="279" t="s">
        <v>335</v>
      </c>
      <c r="B33" s="279" t="s">
        <v>340</v>
      </c>
      <c r="C33" s="280">
        <v>572958087.53871715</v>
      </c>
      <c r="D33" s="280">
        <v>72340437.537021309</v>
      </c>
      <c r="E33" s="280">
        <v>1042418.567724977</v>
      </c>
      <c r="F33" s="280">
        <v>7788504.5624921061</v>
      </c>
      <c r="G33" s="280">
        <v>4903704.2638877938</v>
      </c>
      <c r="H33" s="280">
        <v>187180.08661753664</v>
      </c>
      <c r="I33" s="280">
        <v>465765902.20924187</v>
      </c>
      <c r="J33" s="280">
        <v>78121180.351230487</v>
      </c>
      <c r="K33" s="280">
        <v>27488773.029238068</v>
      </c>
      <c r="L33" s="280">
        <v>377793.83312134654</v>
      </c>
      <c r="M33" s="280">
        <v>9004273.3868166041</v>
      </c>
      <c r="N33" s="280">
        <v>87675.033266257276</v>
      </c>
      <c r="O33" s="280">
        <v>51624065.817443743</v>
      </c>
      <c r="P33" s="280">
        <v>936805.28575530509</v>
      </c>
      <c r="Q33" s="280">
        <v>6394681.6997608142</v>
      </c>
      <c r="R33" s="280">
        <v>3453550.9161759857</v>
      </c>
      <c r="S33" s="280">
        <v>6022429.6690493599</v>
      </c>
      <c r="T33" s="280">
        <v>30765255.690529704</v>
      </c>
      <c r="U33" s="280">
        <v>44631764.241105966</v>
      </c>
      <c r="V33" s="280">
        <v>4548992.4110744735</v>
      </c>
      <c r="W33" s="280">
        <v>726884.69192110945</v>
      </c>
      <c r="X33" s="280">
        <v>2342474.0318715265</v>
      </c>
      <c r="Y33" s="280">
        <v>1034624.0684133226</v>
      </c>
      <c r="Z33" s="280">
        <v>44728152.57070329</v>
      </c>
      <c r="AA33" s="280">
        <v>6620588.7729841648</v>
      </c>
      <c r="AB33" s="280">
        <v>4202687.7589667849</v>
      </c>
      <c r="AC33" s="280">
        <v>1897926.7349178109</v>
      </c>
      <c r="AD33" s="280">
        <v>19696985.116076201</v>
      </c>
      <c r="AE33" s="280">
        <v>181868.26015227591</v>
      </c>
      <c r="AF33" s="280">
        <v>9040456.7547669932</v>
      </c>
      <c r="AG33" s="281">
        <v>1478916124.8910441</v>
      </c>
    </row>
    <row r="34" spans="1:34" x14ac:dyDescent="0.35">
      <c r="A34" s="279" t="s">
        <v>335</v>
      </c>
      <c r="B34" s="279" t="s">
        <v>341</v>
      </c>
      <c r="C34" s="280">
        <v>822818947.32679403</v>
      </c>
      <c r="D34" s="280">
        <v>60408010.641387939</v>
      </c>
      <c r="E34" s="280">
        <v>1108280.9958198562</v>
      </c>
      <c r="F34" s="280">
        <v>9341278.2742406167</v>
      </c>
      <c r="G34" s="280">
        <v>4237151.5891767982</v>
      </c>
      <c r="H34" s="280">
        <v>187121.7243421204</v>
      </c>
      <c r="I34" s="280">
        <v>504947068.66422009</v>
      </c>
      <c r="J34" s="280">
        <v>86383080.271151423</v>
      </c>
      <c r="K34" s="280">
        <v>30539154.1298972</v>
      </c>
      <c r="L34" s="280">
        <v>426591.78906329523</v>
      </c>
      <c r="M34" s="280">
        <v>9165440.5750678442</v>
      </c>
      <c r="N34" s="280">
        <v>104153.45783038475</v>
      </c>
      <c r="O34" s="280">
        <v>56456251.36588107</v>
      </c>
      <c r="P34" s="280">
        <v>1679293.4870312023</v>
      </c>
      <c r="Q34" s="280">
        <v>7535830.6576592922</v>
      </c>
      <c r="R34" s="280">
        <v>721768.44692314893</v>
      </c>
      <c r="S34" s="280">
        <v>6019533.3041035747</v>
      </c>
      <c r="T34" s="280">
        <v>27264718.685522188</v>
      </c>
      <c r="U34" s="280">
        <v>43479030.658583067</v>
      </c>
      <c r="V34" s="280">
        <v>4991628.4712409033</v>
      </c>
      <c r="W34" s="280">
        <v>252051.48846389106</v>
      </c>
      <c r="X34" s="280">
        <v>2013409.3054369381</v>
      </c>
      <c r="Y34" s="280">
        <v>1106081.2503370626</v>
      </c>
      <c r="Z34" s="280">
        <v>46528903.892782606</v>
      </c>
      <c r="AA34" s="280">
        <v>11274239.120113634</v>
      </c>
      <c r="AB34" s="280">
        <v>3760680.4251907845</v>
      </c>
      <c r="AC34" s="280">
        <v>1826632.6975677959</v>
      </c>
      <c r="AD34" s="280">
        <v>17064530.690597568</v>
      </c>
      <c r="AE34" s="280">
        <v>181776.2207315375</v>
      </c>
      <c r="AF34" s="280">
        <v>9042491.6153662317</v>
      </c>
      <c r="AG34" s="281">
        <v>1770865131.2225239</v>
      </c>
      <c r="AH34" s="107">
        <f>SUM(AG23:AG34)</f>
        <v>20110937580.220417</v>
      </c>
    </row>
    <row r="35" spans="1:34" x14ac:dyDescent="0.35">
      <c r="A35" s="279" t="s">
        <v>335</v>
      </c>
      <c r="B35" s="279" t="s">
        <v>342</v>
      </c>
      <c r="C35" s="280">
        <v>1120975277.4669898</v>
      </c>
      <c r="D35" s="280">
        <v>71738904.395826176</v>
      </c>
      <c r="E35" s="280">
        <v>1272985.8386180634</v>
      </c>
      <c r="F35" s="280">
        <v>11777860.355827708</v>
      </c>
      <c r="G35" s="280">
        <v>4565385.0460314555</v>
      </c>
      <c r="H35" s="280">
        <v>187063.32731619265</v>
      </c>
      <c r="I35" s="280">
        <v>560890846.83018696</v>
      </c>
      <c r="J35" s="280">
        <v>100706885.69533642</v>
      </c>
      <c r="K35" s="280">
        <v>33580933.241973817</v>
      </c>
      <c r="L35" s="280">
        <v>534712.25894868467</v>
      </c>
      <c r="M35" s="280">
        <v>11354360.779986773</v>
      </c>
      <c r="N35" s="280">
        <v>124923.26766112636</v>
      </c>
      <c r="O35" s="280">
        <v>71714648.646560833</v>
      </c>
      <c r="P35" s="280">
        <v>1165192.4020586484</v>
      </c>
      <c r="Q35" s="280">
        <v>9021567.1282927319</v>
      </c>
      <c r="R35" s="280">
        <v>761129.42940072378</v>
      </c>
      <c r="S35" s="280">
        <v>6016641.955452974</v>
      </c>
      <c r="T35" s="280">
        <v>29010749.657665871</v>
      </c>
      <c r="U35" s="280">
        <v>48858566.630328916</v>
      </c>
      <c r="V35" s="280">
        <v>3575924.2780611948</v>
      </c>
      <c r="W35" s="280">
        <v>-769023.96908282116</v>
      </c>
      <c r="X35" s="280">
        <v>2282195.0631917664</v>
      </c>
      <c r="Y35" s="280">
        <v>1314007.2629020668</v>
      </c>
      <c r="Z35" s="280">
        <v>46883013.320564993</v>
      </c>
      <c r="AA35" s="280">
        <v>8900311.8954649214</v>
      </c>
      <c r="AB35" s="280">
        <v>3636583.8629255891</v>
      </c>
      <c r="AC35" s="280">
        <v>1998092.9483650071</v>
      </c>
      <c r="AD35" s="280">
        <v>15034050.792014752</v>
      </c>
      <c r="AE35" s="280">
        <v>181684.23105047323</v>
      </c>
      <c r="AF35" s="280">
        <v>9044505.7080552857</v>
      </c>
      <c r="AG35" s="280">
        <v>2176339979.7479777</v>
      </c>
    </row>
    <row r="36" spans="1:34" x14ac:dyDescent="0.35">
      <c r="A36" s="279" t="s">
        <v>335</v>
      </c>
      <c r="B36" s="279" t="s">
        <v>344</v>
      </c>
      <c r="C36" s="280">
        <v>1076223855.1886494</v>
      </c>
      <c r="D36" s="280">
        <v>68417092.548904315</v>
      </c>
      <c r="E36" s="280">
        <v>1094462.7811660026</v>
      </c>
      <c r="F36" s="280">
        <v>11008888.085258622</v>
      </c>
      <c r="G36" s="280">
        <v>4235080.8746341774</v>
      </c>
      <c r="H36" s="280">
        <v>187004.79677555212</v>
      </c>
      <c r="I36" s="280">
        <v>571798477.46867573</v>
      </c>
      <c r="J36" s="280">
        <v>99691660.386675611</v>
      </c>
      <c r="K36" s="280">
        <v>35129214.76346942</v>
      </c>
      <c r="L36" s="280">
        <v>475186.30414339917</v>
      </c>
      <c r="M36" s="280">
        <v>11056748.379035806</v>
      </c>
      <c r="N36" s="280">
        <v>158068.1219219034</v>
      </c>
      <c r="O36" s="280">
        <v>65638534.29659953</v>
      </c>
      <c r="P36" s="280">
        <v>857590.56493332493</v>
      </c>
      <c r="Q36" s="280">
        <v>10083741.216643449</v>
      </c>
      <c r="R36" s="280">
        <v>1116581.8091906763</v>
      </c>
      <c r="S36" s="280">
        <v>6013749.6693152962</v>
      </c>
      <c r="T36" s="280">
        <v>30378984.344385501</v>
      </c>
      <c r="U36" s="280">
        <v>49343659.37891531</v>
      </c>
      <c r="V36" s="280">
        <v>5157396.1856971784</v>
      </c>
      <c r="W36" s="280">
        <v>1559452.4764510202</v>
      </c>
      <c r="X36" s="280">
        <v>2444795.831428349</v>
      </c>
      <c r="Y36" s="280">
        <v>4395197.0111567946</v>
      </c>
      <c r="Z36" s="280">
        <v>50926140.305189431</v>
      </c>
      <c r="AA36" s="280">
        <v>9147981.049354244</v>
      </c>
      <c r="AB36" s="280">
        <v>5128781.7852063375</v>
      </c>
      <c r="AC36" s="280">
        <v>2090496.9919593735</v>
      </c>
      <c r="AD36" s="280">
        <v>17823856.317925338</v>
      </c>
      <c r="AE36" s="280">
        <v>181592.13755081629</v>
      </c>
      <c r="AF36" s="280">
        <v>9046496.7637513876</v>
      </c>
      <c r="AG36" s="280">
        <v>2150810767.8349638</v>
      </c>
    </row>
    <row r="37" spans="1:34" x14ac:dyDescent="0.35">
      <c r="A37" s="279" t="s">
        <v>335</v>
      </c>
      <c r="B37" s="279" t="s">
        <v>345</v>
      </c>
      <c r="C37" s="280">
        <v>784303950.7918756</v>
      </c>
      <c r="D37" s="280">
        <v>51291288.710505746</v>
      </c>
      <c r="E37" s="280">
        <v>882399.60642404982</v>
      </c>
      <c r="F37" s="280">
        <v>8165778.4787040697</v>
      </c>
      <c r="G37" s="280">
        <v>3180457.1691194614</v>
      </c>
      <c r="H37" s="280">
        <v>186945.82209339255</v>
      </c>
      <c r="I37" s="280">
        <v>422496863.32764375</v>
      </c>
      <c r="J37" s="280">
        <v>74130430.028685614</v>
      </c>
      <c r="K37" s="280">
        <v>26479966.683390308</v>
      </c>
      <c r="L37" s="280">
        <v>387087.25252079562</v>
      </c>
      <c r="M37" s="280">
        <v>8471784.2334925514</v>
      </c>
      <c r="N37" s="280">
        <v>118619.33992560483</v>
      </c>
      <c r="O37" s="280">
        <v>51504770.556800179</v>
      </c>
      <c r="P37" s="280">
        <v>692723.84128348285</v>
      </c>
      <c r="Q37" s="280">
        <v>7473515.1408079565</v>
      </c>
      <c r="R37" s="280">
        <v>760422.05913630652</v>
      </c>
      <c r="S37" s="280">
        <v>6010843.8784886105</v>
      </c>
      <c r="T37" s="280">
        <v>28361490.352140456</v>
      </c>
      <c r="U37" s="280">
        <v>43675904.98416049</v>
      </c>
      <c r="V37" s="280">
        <v>4735253.1421528654</v>
      </c>
      <c r="W37" s="280">
        <v>618007.13368466962</v>
      </c>
      <c r="X37" s="280">
        <v>2295657.3087277585</v>
      </c>
      <c r="Y37" s="280">
        <v>1129095.868374411</v>
      </c>
      <c r="Z37" s="280">
        <v>46703597.00022167</v>
      </c>
      <c r="AA37" s="280">
        <v>8036239.8777049817</v>
      </c>
      <c r="AB37" s="280">
        <v>4916115.8879792346</v>
      </c>
      <c r="AC37" s="280">
        <v>1907727.0845776501</v>
      </c>
      <c r="AD37" s="280">
        <v>17375600.16820683</v>
      </c>
      <c r="AE37" s="280">
        <v>181499.62069474545</v>
      </c>
      <c r="AF37" s="280">
        <v>9048454.9309707191</v>
      </c>
      <c r="AG37" s="280">
        <v>1615522490.2804937</v>
      </c>
    </row>
    <row r="38" spans="1:34" x14ac:dyDescent="0.35">
      <c r="A38" s="279" t="s">
        <v>335</v>
      </c>
      <c r="B38" s="279" t="s">
        <v>347</v>
      </c>
      <c r="C38" s="280">
        <v>558641218.16818404</v>
      </c>
      <c r="D38" s="280">
        <v>43662147.065361805</v>
      </c>
      <c r="E38" s="280">
        <v>772465.17776226462</v>
      </c>
      <c r="F38" s="280">
        <v>6339140.4965806454</v>
      </c>
      <c r="G38" s="280">
        <v>2879176.9932736647</v>
      </c>
      <c r="H38" s="280">
        <v>186885.82264222947</v>
      </c>
      <c r="I38" s="280">
        <v>441223936.71477777</v>
      </c>
      <c r="J38" s="280">
        <v>83326742.078009799</v>
      </c>
      <c r="K38" s="280">
        <v>27113602.865651608</v>
      </c>
      <c r="L38" s="280">
        <v>378760.01965916331</v>
      </c>
      <c r="M38" s="280">
        <v>9445247.7573771775</v>
      </c>
      <c r="N38" s="280">
        <v>85864.010259664385</v>
      </c>
      <c r="O38" s="280">
        <v>56704302.031534292</v>
      </c>
      <c r="P38" s="280">
        <v>1056553.7380511488</v>
      </c>
      <c r="Q38" s="280">
        <v>7457456.5892492533</v>
      </c>
      <c r="R38" s="280">
        <v>2211332.9750423227</v>
      </c>
      <c r="S38" s="280">
        <v>6007905.4268442336</v>
      </c>
      <c r="T38" s="280">
        <v>25964651.633468378</v>
      </c>
      <c r="U38" s="280">
        <v>44632176.192881271</v>
      </c>
      <c r="V38" s="280">
        <v>4091206.2539897412</v>
      </c>
      <c r="W38" s="280">
        <v>533386.49133460515</v>
      </c>
      <c r="X38" s="280">
        <v>1997558.6511000118</v>
      </c>
      <c r="Y38" s="280">
        <v>2818094.1283764108</v>
      </c>
      <c r="Z38" s="280">
        <v>46007706.362475328</v>
      </c>
      <c r="AA38" s="280">
        <v>8115617.0871102829</v>
      </c>
      <c r="AB38" s="280">
        <v>4198498.9531081012</v>
      </c>
      <c r="AC38" s="280">
        <v>1809430.3697848662</v>
      </c>
      <c r="AD38" s="280">
        <v>18009711.881551877</v>
      </c>
      <c r="AE38" s="280">
        <v>181406.15680568464</v>
      </c>
      <c r="AF38" s="280">
        <v>9050360.907011278</v>
      </c>
      <c r="AG38" s="280">
        <v>1414902542.9992592</v>
      </c>
    </row>
    <row r="39" spans="1:34" x14ac:dyDescent="0.35">
      <c r="A39" s="279" t="s">
        <v>335</v>
      </c>
      <c r="B39" s="279" t="s">
        <v>348</v>
      </c>
      <c r="C39" s="280">
        <v>579687071.01005459</v>
      </c>
      <c r="D39" s="280">
        <v>60520949.624933891</v>
      </c>
      <c r="E39" s="280">
        <v>1034243.6392031147</v>
      </c>
      <c r="F39" s="280">
        <v>7390512.2480297573</v>
      </c>
      <c r="G39" s="280">
        <v>4205135.8120720014</v>
      </c>
      <c r="H39" s="280">
        <v>186824.22917501623</v>
      </c>
      <c r="I39" s="280">
        <v>439635787.97707736</v>
      </c>
      <c r="J39" s="280">
        <v>80761518.000282884</v>
      </c>
      <c r="K39" s="280">
        <v>28584658.614494056</v>
      </c>
      <c r="L39" s="280">
        <v>372748.18125423416</v>
      </c>
      <c r="M39" s="280">
        <v>7612755.5434604548</v>
      </c>
      <c r="N39" s="280">
        <v>75872.499017621973</v>
      </c>
      <c r="O39" s="280">
        <v>60772718.070626102</v>
      </c>
      <c r="P39" s="280">
        <v>1827742.6095871211</v>
      </c>
      <c r="Q39" s="280">
        <v>7425420.4703683322</v>
      </c>
      <c r="R39" s="280">
        <v>628543.49823749741</v>
      </c>
      <c r="S39" s="280">
        <v>6004914.8251719996</v>
      </c>
      <c r="T39" s="280">
        <v>26618280.107520856</v>
      </c>
      <c r="U39" s="280">
        <v>43734728.492288776</v>
      </c>
      <c r="V39" s="280">
        <v>4153269.9151568492</v>
      </c>
      <c r="W39" s="280">
        <v>274706.02777061978</v>
      </c>
      <c r="X39" s="280">
        <v>1757420.4283207862</v>
      </c>
      <c r="Y39" s="280">
        <v>1421912.2712256294</v>
      </c>
      <c r="Z39" s="280">
        <v>39371155.556444645</v>
      </c>
      <c r="AA39" s="280">
        <v>8902035.6887139231</v>
      </c>
      <c r="AB39" s="280">
        <v>3398794.9008537182</v>
      </c>
      <c r="AC39" s="280">
        <v>1430472.2869384668</v>
      </c>
      <c r="AD39" s="280">
        <v>19358101.275529675</v>
      </c>
      <c r="AE39" s="280">
        <v>181311.22377712236</v>
      </c>
      <c r="AF39" s="280">
        <v>9052188.1514888462</v>
      </c>
      <c r="AG39" s="280">
        <v>1446381793.1790755</v>
      </c>
    </row>
    <row r="40" spans="1:34" x14ac:dyDescent="0.35">
      <c r="A40" s="279" t="s">
        <v>335</v>
      </c>
      <c r="B40" s="279" t="s">
        <v>349</v>
      </c>
      <c r="C40" s="280">
        <v>725064914.83608234</v>
      </c>
      <c r="D40" s="280">
        <v>104472870.73722425</v>
      </c>
      <c r="E40" s="280">
        <v>1608525.4249573224</v>
      </c>
      <c r="F40" s="280">
        <v>10238722.413591895</v>
      </c>
      <c r="G40" s="280">
        <v>7528937.7038280638</v>
      </c>
      <c r="H40" s="280">
        <v>186707.22616269888</v>
      </c>
      <c r="I40" s="280">
        <v>466987418.11082292</v>
      </c>
      <c r="J40" s="280">
        <v>85785388.688339099</v>
      </c>
      <c r="K40" s="280">
        <v>31833158.305873893</v>
      </c>
      <c r="L40" s="280">
        <v>360466.83848551882</v>
      </c>
      <c r="M40" s="280">
        <v>6197796.0661794618</v>
      </c>
      <c r="N40" s="280">
        <v>97999.771024317088</v>
      </c>
      <c r="O40" s="280">
        <v>68626154.581263006</v>
      </c>
      <c r="P40" s="280">
        <v>2167497.765323027</v>
      </c>
      <c r="Q40" s="280">
        <v>7292472.5458549615</v>
      </c>
      <c r="R40" s="280">
        <v>434209.10478861077</v>
      </c>
      <c r="S40" s="280">
        <v>5999099.8030738719</v>
      </c>
      <c r="T40" s="280">
        <v>25037190.344594434</v>
      </c>
      <c r="U40" s="280">
        <v>43036257.930114962</v>
      </c>
      <c r="V40" s="280">
        <v>3968456.8496936117</v>
      </c>
      <c r="W40" s="280">
        <v>270344.94411853183</v>
      </c>
      <c r="X40" s="280">
        <v>1460082.3946254845</v>
      </c>
      <c r="Y40" s="280">
        <v>1401100.3358609281</v>
      </c>
      <c r="Z40" s="280">
        <v>46850410.145305112</v>
      </c>
      <c r="AA40" s="280">
        <v>11500925.863319615</v>
      </c>
      <c r="AB40" s="280">
        <v>3823615.7532350104</v>
      </c>
      <c r="AC40" s="280">
        <v>2530379.4694217588</v>
      </c>
      <c r="AD40" s="280">
        <v>17212026.086570304</v>
      </c>
      <c r="AE40" s="280">
        <v>181126.30948536468</v>
      </c>
      <c r="AF40" s="280">
        <v>9056237.5379176568</v>
      </c>
      <c r="AG40" s="280">
        <v>1691210493.8871379</v>
      </c>
    </row>
    <row r="41" spans="1:34" x14ac:dyDescent="0.35">
      <c r="A41" s="279" t="s">
        <v>335</v>
      </c>
      <c r="B41" s="279" t="s">
        <v>350</v>
      </c>
      <c r="C41" s="280">
        <v>733592934.87132454</v>
      </c>
      <c r="D41" s="280">
        <v>122578309.36344187</v>
      </c>
      <c r="E41" s="280">
        <v>1759542.7893484589</v>
      </c>
      <c r="F41" s="280">
        <v>10784223.041650288</v>
      </c>
      <c r="G41" s="280">
        <v>8496287.3957074247</v>
      </c>
      <c r="H41" s="280">
        <v>186648.88755182177</v>
      </c>
      <c r="I41" s="280">
        <v>479325603.12337011</v>
      </c>
      <c r="J41" s="280">
        <v>80984408.002492711</v>
      </c>
      <c r="K41" s="280">
        <v>32499626.227951441</v>
      </c>
      <c r="L41" s="280">
        <v>376222.57831430575</v>
      </c>
      <c r="M41" s="280">
        <v>9815796.4751016814</v>
      </c>
      <c r="N41" s="280">
        <v>125084.98298357944</v>
      </c>
      <c r="O41" s="280">
        <v>65148669.452194028</v>
      </c>
      <c r="P41" s="280">
        <v>1153173.0882477898</v>
      </c>
      <c r="Q41" s="280">
        <v>8024880.9251539549</v>
      </c>
      <c r="R41" s="280">
        <v>231873.74119472175</v>
      </c>
      <c r="S41" s="280">
        <v>5996204.1414137986</v>
      </c>
      <c r="T41" s="280">
        <v>26025969.789797194</v>
      </c>
      <c r="U41" s="280">
        <v>40376795.917333208</v>
      </c>
      <c r="V41" s="280">
        <v>4089899.1386996391</v>
      </c>
      <c r="W41" s="280">
        <v>313399.65045079822</v>
      </c>
      <c r="X41" s="280">
        <v>1655303.6628298743</v>
      </c>
      <c r="Y41" s="280">
        <v>1373342.2616545644</v>
      </c>
      <c r="Z41" s="280">
        <v>41507026.370647594</v>
      </c>
      <c r="AA41" s="280">
        <v>19537479.459019765</v>
      </c>
      <c r="AB41" s="280">
        <v>4164332.6872180756</v>
      </c>
      <c r="AC41" s="280">
        <v>2023064.546934986</v>
      </c>
      <c r="AD41" s="280">
        <v>17439659.513174381</v>
      </c>
      <c r="AE41" s="280">
        <v>181034.36944564857</v>
      </c>
      <c r="AF41" s="280">
        <v>9058266.2091197968</v>
      </c>
      <c r="AG41" s="280">
        <v>1728825062.6637678</v>
      </c>
    </row>
    <row r="42" spans="1:34" x14ac:dyDescent="0.35">
      <c r="A42" s="279" t="s">
        <v>335</v>
      </c>
      <c r="B42" s="279" t="s">
        <v>351</v>
      </c>
      <c r="C42" s="280">
        <v>609780621.79992008</v>
      </c>
      <c r="D42" s="280">
        <v>110937520.74537201</v>
      </c>
      <c r="E42" s="280">
        <v>1444988.62965814</v>
      </c>
      <c r="F42" s="280">
        <v>9291808.6143282987</v>
      </c>
      <c r="G42" s="280">
        <v>7696311.3111704085</v>
      </c>
      <c r="H42" s="280">
        <v>186590.38470646826</v>
      </c>
      <c r="I42" s="280">
        <v>450057610.03593057</v>
      </c>
      <c r="J42" s="280">
        <v>69323762.256648764</v>
      </c>
      <c r="K42" s="280">
        <v>28320442.886263002</v>
      </c>
      <c r="L42" s="280">
        <v>307814.93154721777</v>
      </c>
      <c r="M42" s="280">
        <v>8550499.1869263817</v>
      </c>
      <c r="N42" s="280">
        <v>99787.436232096195</v>
      </c>
      <c r="O42" s="280">
        <v>57481623.572209343</v>
      </c>
      <c r="P42" s="280">
        <v>2429216.8915278781</v>
      </c>
      <c r="Q42" s="280">
        <v>7110955.6949405689</v>
      </c>
      <c r="R42" s="280">
        <v>208123.86995527305</v>
      </c>
      <c r="S42" s="280">
        <v>5993305.4121067673</v>
      </c>
      <c r="T42" s="280">
        <v>26402928.939409088</v>
      </c>
      <c r="U42" s="280">
        <v>36515970.529911667</v>
      </c>
      <c r="V42" s="280">
        <v>4033436.9038267205</v>
      </c>
      <c r="W42" s="280">
        <v>631049.31097378023</v>
      </c>
      <c r="X42" s="280">
        <v>1739592.1352676156</v>
      </c>
      <c r="Y42" s="280">
        <v>1309852.0547723919</v>
      </c>
      <c r="Z42" s="280">
        <v>37706077.806833476</v>
      </c>
      <c r="AA42" s="280">
        <v>16979631.81849356</v>
      </c>
      <c r="AB42" s="280">
        <v>3968565.5970271714</v>
      </c>
      <c r="AC42" s="280">
        <v>1746169.3878351692</v>
      </c>
      <c r="AD42" s="280">
        <v>17825472.306831382</v>
      </c>
      <c r="AE42" s="280">
        <v>180942.3667550699</v>
      </c>
      <c r="AF42" s="280">
        <v>9060280.9115663543</v>
      </c>
      <c r="AG42" s="280">
        <v>1527320953.7289467</v>
      </c>
    </row>
    <row r="43" spans="1:34" x14ac:dyDescent="0.35">
      <c r="A43" s="279" t="s">
        <v>335</v>
      </c>
      <c r="B43" s="279" t="s">
        <v>352</v>
      </c>
      <c r="C43" s="280">
        <v>572599113.95444417</v>
      </c>
      <c r="D43" s="280">
        <v>102652163.52203357</v>
      </c>
      <c r="E43" s="280">
        <v>1482717.3067335589</v>
      </c>
      <c r="F43" s="280">
        <v>8741693.937902227</v>
      </c>
      <c r="G43" s="280">
        <v>7024511.9527762337</v>
      </c>
      <c r="H43" s="280">
        <v>186531.78561449287</v>
      </c>
      <c r="I43" s="280">
        <v>454517953.85962534</v>
      </c>
      <c r="J43" s="280">
        <v>65999454.085942127</v>
      </c>
      <c r="K43" s="280">
        <v>24921885.537728846</v>
      </c>
      <c r="L43" s="280">
        <v>278837.85449536756</v>
      </c>
      <c r="M43" s="280">
        <v>7169774.9716604427</v>
      </c>
      <c r="N43" s="280">
        <v>83088.928525990996</v>
      </c>
      <c r="O43" s="280">
        <v>49095667.612126455</v>
      </c>
      <c r="P43" s="280">
        <v>1168350.8018615083</v>
      </c>
      <c r="Q43" s="280">
        <v>5606527.8977660546</v>
      </c>
      <c r="R43" s="280">
        <v>147765.13606227972</v>
      </c>
      <c r="S43" s="280">
        <v>5990405.5923617398</v>
      </c>
      <c r="T43" s="280">
        <v>31963464.560967285</v>
      </c>
      <c r="U43" s="280">
        <v>45712095.496322364</v>
      </c>
      <c r="V43" s="280">
        <v>4215352.2730576703</v>
      </c>
      <c r="W43" s="280">
        <v>617678.94987140771</v>
      </c>
      <c r="X43" s="280">
        <v>1976977.6507792172</v>
      </c>
      <c r="Y43" s="280">
        <v>1526759.9971844165</v>
      </c>
      <c r="Z43" s="280">
        <v>43656545.978625111</v>
      </c>
      <c r="AA43" s="280">
        <v>18247179.832007106</v>
      </c>
      <c r="AB43" s="280">
        <v>4731552.2584033897</v>
      </c>
      <c r="AC43" s="280">
        <v>1815175.8926048824</v>
      </c>
      <c r="AD43" s="280">
        <v>10315022.901965884</v>
      </c>
      <c r="AE43" s="280">
        <v>180850.34889218656</v>
      </c>
      <c r="AF43" s="280">
        <v>9062285.4062016159</v>
      </c>
      <c r="AG43" s="280">
        <v>1481687386.2845423</v>
      </c>
    </row>
    <row r="44" spans="1:34" x14ac:dyDescent="0.35">
      <c r="A44" s="279" t="s">
        <v>335</v>
      </c>
      <c r="B44" s="279" t="s">
        <v>353</v>
      </c>
      <c r="C44" s="280">
        <v>504221343.65674961</v>
      </c>
      <c r="D44" s="280">
        <v>79163052.162548661</v>
      </c>
      <c r="E44" s="280">
        <v>1131291.6788379329</v>
      </c>
      <c r="F44" s="280">
        <v>7300737.4034173219</v>
      </c>
      <c r="G44" s="280">
        <v>5641609.3852243209</v>
      </c>
      <c r="H44" s="280">
        <v>186473.13271625113</v>
      </c>
      <c r="I44" s="280">
        <v>430944781.75871515</v>
      </c>
      <c r="J44" s="280">
        <v>73689517.419634491</v>
      </c>
      <c r="K44" s="280">
        <v>27188698.470054429</v>
      </c>
      <c r="L44" s="280">
        <v>354440.16533891502</v>
      </c>
      <c r="M44" s="280">
        <v>8939479.6827112604</v>
      </c>
      <c r="N44" s="280">
        <v>91859.699344904613</v>
      </c>
      <c r="O44" s="280">
        <v>50412077.679894768</v>
      </c>
      <c r="P44" s="280">
        <v>878343.51508329913</v>
      </c>
      <c r="Q44" s="280">
        <v>6645986.2123928927</v>
      </c>
      <c r="R44" s="280">
        <v>522313.38040809601</v>
      </c>
      <c r="S44" s="280">
        <v>5987505.6551070632</v>
      </c>
      <c r="T44" s="280">
        <v>30973108.494841285</v>
      </c>
      <c r="U44" s="280">
        <v>43590521.891034029</v>
      </c>
      <c r="V44" s="280">
        <v>4499776.0434717219</v>
      </c>
      <c r="W44" s="280">
        <v>615006.75117037736</v>
      </c>
      <c r="X44" s="280">
        <v>961033.26183088543</v>
      </c>
      <c r="Y44" s="280">
        <v>887595.99130401888</v>
      </c>
      <c r="Z44" s="280">
        <v>43241360.5198448</v>
      </c>
      <c r="AA44" s="280">
        <v>9014426.1111088637</v>
      </c>
      <c r="AB44" s="280">
        <v>3945979.9209342706</v>
      </c>
      <c r="AC44" s="280">
        <v>1996770.4845013341</v>
      </c>
      <c r="AD44" s="280">
        <v>20152497.650788017</v>
      </c>
      <c r="AE44" s="280">
        <v>180758.33687149503</v>
      </c>
      <c r="AF44" s="280">
        <v>9064282.5710144415</v>
      </c>
      <c r="AG44" s="280">
        <v>1372422629.0868948</v>
      </c>
    </row>
    <row r="45" spans="1:34" x14ac:dyDescent="0.35">
      <c r="A45" s="279" t="s">
        <v>335</v>
      </c>
      <c r="B45" s="279" t="s">
        <v>354</v>
      </c>
      <c r="C45" s="280">
        <v>571932227.40616536</v>
      </c>
      <c r="D45" s="280">
        <v>71477919.419096977</v>
      </c>
      <c r="E45" s="280">
        <v>1033391.4616592485</v>
      </c>
      <c r="F45" s="280">
        <v>7776601.1201788699</v>
      </c>
      <c r="G45" s="280">
        <v>4950690.4928246858</v>
      </c>
      <c r="H45" s="280">
        <v>186414.44692427045</v>
      </c>
      <c r="I45" s="280">
        <v>446527556.24440056</v>
      </c>
      <c r="J45" s="280">
        <v>76659536.51113309</v>
      </c>
      <c r="K45" s="280">
        <v>27056511.119235333</v>
      </c>
      <c r="L45" s="280">
        <v>372848.29558537778</v>
      </c>
      <c r="M45" s="280">
        <v>8886402.2938696668</v>
      </c>
      <c r="N45" s="280">
        <v>86310.881890870645</v>
      </c>
      <c r="O45" s="280">
        <v>50655276.322422937</v>
      </c>
      <c r="P45" s="280">
        <v>837609.4636189359</v>
      </c>
      <c r="Q45" s="280">
        <v>6426479.3647124171</v>
      </c>
      <c r="R45" s="280">
        <v>3016240.616201892</v>
      </c>
      <c r="S45" s="280">
        <v>5984605.7655560728</v>
      </c>
      <c r="T45" s="280">
        <v>30225366.456596784</v>
      </c>
      <c r="U45" s="280">
        <v>44044865.217163786</v>
      </c>
      <c r="V45" s="280">
        <v>4507745.8094607275</v>
      </c>
      <c r="W45" s="280">
        <v>717984.09830801701</v>
      </c>
      <c r="X45" s="280">
        <v>2224735.963240867</v>
      </c>
      <c r="Y45" s="280">
        <v>1048504.8224254554</v>
      </c>
      <c r="Z45" s="280">
        <v>44818708.983577847</v>
      </c>
      <c r="AA45" s="280">
        <v>5661909.7701602736</v>
      </c>
      <c r="AB45" s="280">
        <v>4107300.3105251282</v>
      </c>
      <c r="AC45" s="280">
        <v>1894348.54967544</v>
      </c>
      <c r="AD45" s="280">
        <v>19087245.933944594</v>
      </c>
      <c r="AE45" s="280">
        <v>180666.33295331898</v>
      </c>
      <c r="AF45" s="280">
        <v>9066274.5370784868</v>
      </c>
      <c r="AG45" s="280">
        <v>1451452278.0105872</v>
      </c>
    </row>
    <row r="46" spans="1:34" x14ac:dyDescent="0.35">
      <c r="A46" s="279" t="s">
        <v>335</v>
      </c>
      <c r="B46" s="279" t="s">
        <v>355</v>
      </c>
      <c r="C46" s="280">
        <v>819269274.65060198</v>
      </c>
      <c r="D46" s="280">
        <v>61327253.310756736</v>
      </c>
      <c r="E46" s="280">
        <v>1107142.5546958856</v>
      </c>
      <c r="F46" s="280">
        <v>9361357.5564310066</v>
      </c>
      <c r="G46" s="280">
        <v>4311194.6917295605</v>
      </c>
      <c r="H46" s="280">
        <v>186355.73417874827</v>
      </c>
      <c r="I46" s="280">
        <v>481121752.51584309</v>
      </c>
      <c r="J46" s="280">
        <v>86233253.097011268</v>
      </c>
      <c r="K46" s="280">
        <v>30318604.385125075</v>
      </c>
      <c r="L46" s="280">
        <v>422809.77768292924</v>
      </c>
      <c r="M46" s="280">
        <v>9084183.032260729</v>
      </c>
      <c r="N46" s="280">
        <v>104678.97321971218</v>
      </c>
      <c r="O46" s="280">
        <v>56131462.871377103</v>
      </c>
      <c r="P46" s="280">
        <v>1607322.8415635512</v>
      </c>
      <c r="Q46" s="280">
        <v>7481534.6936024018</v>
      </c>
      <c r="R46" s="280">
        <v>804940.47216684639</v>
      </c>
      <c r="S46" s="280">
        <v>5981705.5882635936</v>
      </c>
      <c r="T46" s="280">
        <v>26941024.078649417</v>
      </c>
      <c r="U46" s="280">
        <v>42264633.888245359</v>
      </c>
      <c r="V46" s="280">
        <v>4707280.8986309264</v>
      </c>
      <c r="W46" s="280">
        <v>347944.54153748706</v>
      </c>
      <c r="X46" s="280">
        <v>1954473.3472990559</v>
      </c>
      <c r="Y46" s="280">
        <v>1097086.569888395</v>
      </c>
      <c r="Z46" s="280">
        <v>45513110.730959632</v>
      </c>
      <c r="AA46" s="280">
        <v>11972308.230309635</v>
      </c>
      <c r="AB46" s="280">
        <v>3611711.0866468102</v>
      </c>
      <c r="AC46" s="280">
        <v>1801327.504763175</v>
      </c>
      <c r="AD46" s="280">
        <v>16522341.217253024</v>
      </c>
      <c r="AE46" s="280">
        <v>180574.33208149709</v>
      </c>
      <c r="AF46" s="280">
        <v>9068262.9168008026</v>
      </c>
      <c r="AG46" s="280">
        <v>1740836906.0895751</v>
      </c>
    </row>
    <row r="47" spans="1:34" x14ac:dyDescent="0.35">
      <c r="A47" s="279" t="s">
        <v>335</v>
      </c>
      <c r="B47" s="279" t="s">
        <v>356</v>
      </c>
      <c r="C47" s="280">
        <v>1117509748.9165814</v>
      </c>
      <c r="D47" s="280">
        <v>71728047.254068702</v>
      </c>
      <c r="E47" s="280">
        <v>1277075.9129699578</v>
      </c>
      <c r="F47" s="280">
        <v>11786059.319916906</v>
      </c>
      <c r="G47" s="280">
        <v>4609084.0804087203</v>
      </c>
      <c r="H47" s="280">
        <v>186296.99512109239</v>
      </c>
      <c r="I47" s="280">
        <v>538282814.14048636</v>
      </c>
      <c r="J47" s="280">
        <v>99245317.844796374</v>
      </c>
      <c r="K47" s="280">
        <v>33299669.411119364</v>
      </c>
      <c r="L47" s="280">
        <v>525563.66788406158</v>
      </c>
      <c r="M47" s="280">
        <v>11160094.79517369</v>
      </c>
      <c r="N47" s="280">
        <v>124737.89415036404</v>
      </c>
      <c r="O47" s="280">
        <v>68707168.312377438</v>
      </c>
      <c r="P47" s="280">
        <v>1073964.9368709468</v>
      </c>
      <c r="Q47" s="280">
        <v>8869516.8566820323</v>
      </c>
      <c r="R47" s="280">
        <v>695898.91054769594</v>
      </c>
      <c r="S47" s="280">
        <v>5978804.6845702874</v>
      </c>
      <c r="T47" s="280">
        <v>28440008.587818332</v>
      </c>
      <c r="U47" s="280">
        <v>47259555.484453842</v>
      </c>
      <c r="V47" s="280">
        <v>3792752.5669770795</v>
      </c>
      <c r="W47" s="280">
        <v>-383268.62192290253</v>
      </c>
      <c r="X47" s="280">
        <v>2236729.7658461812</v>
      </c>
      <c r="Y47" s="280">
        <v>1315342.9934959284</v>
      </c>
      <c r="Z47" s="280">
        <v>45860794.984848805</v>
      </c>
      <c r="AA47" s="280">
        <v>8727854.3262568936</v>
      </c>
      <c r="AB47" s="280">
        <v>3404001.1817732938</v>
      </c>
      <c r="AC47" s="280">
        <v>1968470.2777984806</v>
      </c>
      <c r="AD47" s="280">
        <v>15252972.353073215</v>
      </c>
      <c r="AE47" s="280">
        <v>180482.33040882761</v>
      </c>
      <c r="AF47" s="280">
        <v>9070249.1470841914</v>
      </c>
      <c r="AG47" s="280">
        <v>2142185809.3116376</v>
      </c>
    </row>
    <row r="48" spans="1:34" x14ac:dyDescent="0.35">
      <c r="A48" s="279" t="s">
        <v>335</v>
      </c>
      <c r="B48" s="279" t="s">
        <v>357</v>
      </c>
      <c r="C48" s="280">
        <v>1072873794.6958468</v>
      </c>
      <c r="D48" s="280">
        <v>68421031.637711421</v>
      </c>
      <c r="E48" s="280">
        <v>1082875.3790501722</v>
      </c>
      <c r="F48" s="280">
        <v>11039275.955669479</v>
      </c>
      <c r="G48" s="280">
        <v>4281480.4515398843</v>
      </c>
      <c r="H48" s="280">
        <v>186238.23864745331</v>
      </c>
      <c r="I48" s="280">
        <v>552181435.57757854</v>
      </c>
      <c r="J48" s="280">
        <v>96128867.642383367</v>
      </c>
      <c r="K48" s="280">
        <v>34070078.296136245</v>
      </c>
      <c r="L48" s="280">
        <v>459959.02953642129</v>
      </c>
      <c r="M48" s="280">
        <v>10702436.517856769</v>
      </c>
      <c r="N48" s="280">
        <v>146683.85709228809</v>
      </c>
      <c r="O48" s="280">
        <v>62801773.248344451</v>
      </c>
      <c r="P48" s="280">
        <v>739582.54805097787</v>
      </c>
      <c r="Q48" s="280">
        <v>9743673.1729230639</v>
      </c>
      <c r="R48" s="280">
        <v>945292.27430776274</v>
      </c>
      <c r="S48" s="280">
        <v>5975903.0720937038</v>
      </c>
      <c r="T48" s="280">
        <v>30224614.723790616</v>
      </c>
      <c r="U48" s="280">
        <v>48158679.802024953</v>
      </c>
      <c r="V48" s="280">
        <v>5073306.8362582168</v>
      </c>
      <c r="W48" s="280">
        <v>1354382.2515737591</v>
      </c>
      <c r="X48" s="280">
        <v>2354717.2930263672</v>
      </c>
      <c r="Y48" s="280">
        <v>3607168.9789848947</v>
      </c>
      <c r="Z48" s="280">
        <v>50232833.723362729</v>
      </c>
      <c r="AA48" s="280">
        <v>9152878.8266748451</v>
      </c>
      <c r="AB48" s="280">
        <v>5173033.4311375823</v>
      </c>
      <c r="AC48" s="280">
        <v>2039782.5834325235</v>
      </c>
      <c r="AD48" s="280">
        <v>17863021.865788579</v>
      </c>
      <c r="AE48" s="280">
        <v>180390.33645073432</v>
      </c>
      <c r="AF48" s="280">
        <v>9072234.9743040558</v>
      </c>
      <c r="AG48" s="280">
        <v>2116267427.2215786</v>
      </c>
    </row>
    <row r="49" spans="1:33" x14ac:dyDescent="0.35">
      <c r="A49" s="279" t="s">
        <v>335</v>
      </c>
      <c r="B49" s="279" t="s">
        <v>358</v>
      </c>
      <c r="C49" s="280">
        <v>782008354.82902503</v>
      </c>
      <c r="D49" s="280">
        <v>51153323.757127568</v>
      </c>
      <c r="E49" s="280">
        <v>883696.73500405054</v>
      </c>
      <c r="F49" s="280">
        <v>8179834.648496828</v>
      </c>
      <c r="G49" s="280">
        <v>3202783.3062844593</v>
      </c>
      <c r="H49" s="280">
        <v>186179.5001955888</v>
      </c>
      <c r="I49" s="280">
        <v>403992000.56058472</v>
      </c>
      <c r="J49" s="280">
        <v>73602549.611191958</v>
      </c>
      <c r="K49" s="280">
        <v>26101521.83887307</v>
      </c>
      <c r="L49" s="280">
        <v>379573.61666002206</v>
      </c>
      <c r="M49" s="280">
        <v>8307340.9422010453</v>
      </c>
      <c r="N49" s="280">
        <v>106679.19646445151</v>
      </c>
      <c r="O49" s="280">
        <v>50489087.837771095</v>
      </c>
      <c r="P49" s="280">
        <v>608305.3420225468</v>
      </c>
      <c r="Q49" s="280">
        <v>7296438.9063788587</v>
      </c>
      <c r="R49" s="280">
        <v>682391.33101372723</v>
      </c>
      <c r="S49" s="280">
        <v>5973001.8103434928</v>
      </c>
      <c r="T49" s="280">
        <v>28529825.560688086</v>
      </c>
      <c r="U49" s="280">
        <v>42645374.487588003</v>
      </c>
      <c r="V49" s="280">
        <v>4631112.8220948912</v>
      </c>
      <c r="W49" s="280">
        <v>601556.58523692004</v>
      </c>
      <c r="X49" s="280">
        <v>2163441.6561352266</v>
      </c>
      <c r="Y49" s="280">
        <v>1103532.0089222144</v>
      </c>
      <c r="Z49" s="280">
        <v>45629311.964265399</v>
      </c>
      <c r="AA49" s="280">
        <v>8028824.6441877894</v>
      </c>
      <c r="AB49" s="280">
        <v>4741249.1854703482</v>
      </c>
      <c r="AC49" s="280">
        <v>1896919.2024822629</v>
      </c>
      <c r="AD49" s="280">
        <v>16951465.201442823</v>
      </c>
      <c r="AE49" s="280">
        <v>180298.38588351192</v>
      </c>
      <c r="AF49" s="280">
        <v>9074223.1135141123</v>
      </c>
      <c r="AG49" s="280">
        <v>1589330198.5875504</v>
      </c>
    </row>
    <row r="50" spans="1:33" x14ac:dyDescent="0.35">
      <c r="A50" s="279" t="s">
        <v>335</v>
      </c>
      <c r="B50" s="279" t="s">
        <v>359</v>
      </c>
      <c r="C50" s="280">
        <v>557577072.74428439</v>
      </c>
      <c r="D50" s="280">
        <v>43059975.105236754</v>
      </c>
      <c r="E50" s="280">
        <v>754239.30447005015</v>
      </c>
      <c r="F50" s="280">
        <v>6312338.0694651036</v>
      </c>
      <c r="G50" s="280">
        <v>2860294.0098619638</v>
      </c>
      <c r="H50" s="280">
        <v>186120.86637263247</v>
      </c>
      <c r="I50" s="280">
        <v>424040126.10261047</v>
      </c>
      <c r="J50" s="280">
        <v>81135258.915556788</v>
      </c>
      <c r="K50" s="280">
        <v>26515383.303947918</v>
      </c>
      <c r="L50" s="280">
        <v>366836.79542288126</v>
      </c>
      <c r="M50" s="280">
        <v>9147914.8786858357</v>
      </c>
      <c r="N50" s="280">
        <v>85232.882011378882</v>
      </c>
      <c r="O50" s="280">
        <v>55010422.254567713</v>
      </c>
      <c r="P50" s="280">
        <v>1015718.4119812507</v>
      </c>
      <c r="Q50" s="280">
        <v>7185359.4432069771</v>
      </c>
      <c r="R50" s="280">
        <v>2271829.1453974685</v>
      </c>
      <c r="S50" s="280">
        <v>5970103.6331314212</v>
      </c>
      <c r="T50" s="280">
        <v>26017038.830457047</v>
      </c>
      <c r="U50" s="280">
        <v>43877290.316525422</v>
      </c>
      <c r="V50" s="280">
        <v>4146328.6832983568</v>
      </c>
      <c r="W50" s="280">
        <v>521264.60464827513</v>
      </c>
      <c r="X50" s="280">
        <v>1922903.9204414408</v>
      </c>
      <c r="Y50" s="280">
        <v>2351886.8803871945</v>
      </c>
      <c r="Z50" s="280">
        <v>45110767.892773859</v>
      </c>
      <c r="AA50" s="280">
        <v>8066792.0938765872</v>
      </c>
      <c r="AB50" s="280">
        <v>4237127.8438591491</v>
      </c>
      <c r="AC50" s="280">
        <v>1804051.8126882778</v>
      </c>
      <c r="AD50" s="280">
        <v>17318440.093198299</v>
      </c>
      <c r="AE50" s="280">
        <v>180206.5607393886</v>
      </c>
      <c r="AF50" s="280">
        <v>9076218.1188377496</v>
      </c>
      <c r="AG50" s="280">
        <v>1388124543.5179424</v>
      </c>
    </row>
    <row r="51" spans="1:33" x14ac:dyDescent="0.35">
      <c r="A51" s="279" t="s">
        <v>335</v>
      </c>
      <c r="B51" s="279" t="s">
        <v>360</v>
      </c>
      <c r="C51" s="280">
        <v>578459690.21882784</v>
      </c>
      <c r="D51" s="280">
        <v>60008572.516283818</v>
      </c>
      <c r="E51" s="280">
        <v>1026269.3862528617</v>
      </c>
      <c r="F51" s="280">
        <v>7327612.1323951464</v>
      </c>
      <c r="G51" s="280">
        <v>4170951.6124657961</v>
      </c>
      <c r="H51" s="280">
        <v>186062.47826152772</v>
      </c>
      <c r="I51" s="280">
        <v>421333044.50297111</v>
      </c>
      <c r="J51" s="280">
        <v>79738782.982243627</v>
      </c>
      <c r="K51" s="280">
        <v>28204662.853356324</v>
      </c>
      <c r="L51" s="280">
        <v>363178.90092856082</v>
      </c>
      <c r="M51" s="280">
        <v>7417319.0651359363</v>
      </c>
      <c r="N51" s="280">
        <v>73959.077520814622</v>
      </c>
      <c r="O51" s="280">
        <v>59025634.956922278</v>
      </c>
      <c r="P51" s="280">
        <v>1516907.9519800229</v>
      </c>
      <c r="Q51" s="280">
        <v>7148079.6875664089</v>
      </c>
      <c r="R51" s="280">
        <v>692281.39705770323</v>
      </c>
      <c r="S51" s="280">
        <v>5967213.1148298252</v>
      </c>
      <c r="T51" s="280">
        <v>26924242.624099541</v>
      </c>
      <c r="U51" s="280">
        <v>42337553.672799185</v>
      </c>
      <c r="V51" s="280">
        <v>4169036.7286752146</v>
      </c>
      <c r="W51" s="280">
        <v>269102.04537728278</v>
      </c>
      <c r="X51" s="280">
        <v>1707374.2152807815</v>
      </c>
      <c r="Y51" s="280">
        <v>1292900.9419227287</v>
      </c>
      <c r="Z51" s="280">
        <v>38251725.621254638</v>
      </c>
      <c r="AA51" s="280">
        <v>8823329.7450856939</v>
      </c>
      <c r="AB51" s="280">
        <v>3356184.7901036446</v>
      </c>
      <c r="AC51" s="280">
        <v>1570683.8358976629</v>
      </c>
      <c r="AD51" s="280">
        <v>19052014.46825989</v>
      </c>
      <c r="AE51" s="280">
        <v>180114.99311625632</v>
      </c>
      <c r="AF51" s="280">
        <v>9078227.1429866459</v>
      </c>
      <c r="AG51" s="280">
        <v>1419672713.6598585</v>
      </c>
    </row>
    <row r="52" spans="1:33" x14ac:dyDescent="0.35">
      <c r="A52" s="279" t="s">
        <v>335</v>
      </c>
      <c r="B52" s="279" t="s">
        <v>361</v>
      </c>
      <c r="C52" s="280">
        <v>723687876.59031355</v>
      </c>
      <c r="D52" s="280">
        <v>103453869.07053749</v>
      </c>
      <c r="E52" s="280">
        <v>1596462.5686867863</v>
      </c>
      <c r="F52" s="280">
        <v>10220412.84385073</v>
      </c>
      <c r="G52" s="280">
        <v>7556383.0216982011</v>
      </c>
      <c r="H52" s="280">
        <v>185946.28864793651</v>
      </c>
      <c r="I52" s="280">
        <v>447327922.5664323</v>
      </c>
      <c r="J52" s="280">
        <v>84571291.39064312</v>
      </c>
      <c r="K52" s="280">
        <v>31366451.67320862</v>
      </c>
      <c r="L52" s="280">
        <v>351252.8881862674</v>
      </c>
      <c r="M52" s="280">
        <v>6039373.2133073304</v>
      </c>
      <c r="N52" s="280">
        <v>100233.72784272073</v>
      </c>
      <c r="O52" s="280">
        <v>67363431.55977121</v>
      </c>
      <c r="P52" s="280">
        <v>1592634.3313849713</v>
      </c>
      <c r="Q52" s="280">
        <v>7038525.5281731375</v>
      </c>
      <c r="R52" s="280">
        <v>371924.69849321293</v>
      </c>
      <c r="S52" s="280">
        <v>5961449.5247657457</v>
      </c>
      <c r="T52" s="280">
        <v>24997662.56261494</v>
      </c>
      <c r="U52" s="280">
        <v>42694891.666973934</v>
      </c>
      <c r="V52" s="280">
        <v>3898097.2884175922</v>
      </c>
      <c r="W52" s="280">
        <v>264325.2513839028</v>
      </c>
      <c r="X52" s="280">
        <v>1372320.2219990017</v>
      </c>
      <c r="Y52" s="280">
        <v>1272052.227922275</v>
      </c>
      <c r="Z52" s="280">
        <v>46853964.576140486</v>
      </c>
      <c r="AA52" s="280">
        <v>10025889.596207233</v>
      </c>
      <c r="AB52" s="280">
        <v>3751450.8969032126</v>
      </c>
      <c r="AC52" s="280">
        <v>2346479.7503976468</v>
      </c>
      <c r="AD52" s="280">
        <v>16828770.876381706</v>
      </c>
      <c r="AE52" s="280">
        <v>179932.48433940051</v>
      </c>
      <c r="AF52" s="280">
        <v>9082285.4966487773</v>
      </c>
      <c r="AG52" s="280">
        <v>1662353564.3822734</v>
      </c>
    </row>
    <row r="53" spans="1:33" x14ac:dyDescent="0.35">
      <c r="A53" s="279" t="s">
        <v>335</v>
      </c>
      <c r="B53" s="279" t="s">
        <v>362</v>
      </c>
      <c r="C53" s="280">
        <v>732132102.50894666</v>
      </c>
      <c r="D53" s="280">
        <v>121875632.89317212</v>
      </c>
      <c r="E53" s="280">
        <v>1757220.1429851139</v>
      </c>
      <c r="F53" s="280">
        <v>10771331.308046741</v>
      </c>
      <c r="G53" s="280">
        <v>8557143.8916234523</v>
      </c>
      <c r="H53" s="280">
        <v>185887.96363148798</v>
      </c>
      <c r="I53" s="280">
        <v>458537699.39106053</v>
      </c>
      <c r="J53" s="280">
        <v>79164493.526238427</v>
      </c>
      <c r="K53" s="280">
        <v>31423639.442291152</v>
      </c>
      <c r="L53" s="280">
        <v>365615.61680560489</v>
      </c>
      <c r="M53" s="280">
        <v>9539056.6370644644</v>
      </c>
      <c r="N53" s="280">
        <v>129751.00228726763</v>
      </c>
      <c r="O53" s="280">
        <v>63583909.496554673</v>
      </c>
      <c r="P53" s="280">
        <v>1133238.7242095463</v>
      </c>
      <c r="Q53" s="280">
        <v>7517212.7850112924</v>
      </c>
      <c r="R53" s="280">
        <v>222790.15176039896</v>
      </c>
      <c r="S53" s="280">
        <v>5958563.6995697599</v>
      </c>
      <c r="T53" s="280">
        <v>26244541.489298556</v>
      </c>
      <c r="U53" s="280">
        <v>39863919.349477537</v>
      </c>
      <c r="V53" s="280">
        <v>4069391.7414963203</v>
      </c>
      <c r="W53" s="280">
        <v>309627.08774629032</v>
      </c>
      <c r="X53" s="280">
        <v>1622122.3108525656</v>
      </c>
      <c r="Y53" s="280">
        <v>1268576.5186893602</v>
      </c>
      <c r="Z53" s="280">
        <v>40913801.525748305</v>
      </c>
      <c r="AA53" s="280">
        <v>17312381.931198865</v>
      </c>
      <c r="AB53" s="280">
        <v>4114924.4417993505</v>
      </c>
      <c r="AC53" s="280">
        <v>1993587.7574800835</v>
      </c>
      <c r="AD53" s="280">
        <v>17229728.809792671</v>
      </c>
      <c r="AE53" s="280">
        <v>179841.14629964498</v>
      </c>
      <c r="AF53" s="280">
        <v>9084293.6274311189</v>
      </c>
      <c r="AG53" s="280">
        <v>1697062026.9185693</v>
      </c>
    </row>
    <row r="54" spans="1:33" x14ac:dyDescent="0.35">
      <c r="A54" s="279" t="s">
        <v>335</v>
      </c>
      <c r="B54" s="279" t="s">
        <v>363</v>
      </c>
      <c r="C54" s="280">
        <v>607104158.3851608</v>
      </c>
      <c r="D54" s="280">
        <v>111667198.52382325</v>
      </c>
      <c r="E54" s="280">
        <v>1428873.1129422078</v>
      </c>
      <c r="F54" s="280">
        <v>9309747.0053099804</v>
      </c>
      <c r="G54" s="280">
        <v>7856776.9370452967</v>
      </c>
      <c r="H54" s="280">
        <v>185829.65328517696</v>
      </c>
      <c r="I54" s="280">
        <v>434094403.44583529</v>
      </c>
      <c r="J54" s="280">
        <v>66339625.850695722</v>
      </c>
      <c r="K54" s="280">
        <v>27034027.763713282</v>
      </c>
      <c r="L54" s="280">
        <v>290158.29776786448</v>
      </c>
      <c r="M54" s="280">
        <v>8060032.294968416</v>
      </c>
      <c r="N54" s="280">
        <v>99222.357068306635</v>
      </c>
      <c r="O54" s="280">
        <v>54696850.134974182</v>
      </c>
      <c r="P54" s="280">
        <v>2496978.1662314343</v>
      </c>
      <c r="Q54" s="280">
        <v>6561033.8097771099</v>
      </c>
      <c r="R54" s="280">
        <v>203787.22944379249</v>
      </c>
      <c r="S54" s="280">
        <v>5955678.946618855</v>
      </c>
      <c r="T54" s="280">
        <v>26797234.72532583</v>
      </c>
      <c r="U54" s="280">
        <v>36457627.539564811</v>
      </c>
      <c r="V54" s="280">
        <v>4020926.6014861916</v>
      </c>
      <c r="W54" s="280">
        <v>611070.03487518325</v>
      </c>
      <c r="X54" s="280">
        <v>1756199.2115242328</v>
      </c>
      <c r="Y54" s="280">
        <v>1167583.8161679581</v>
      </c>
      <c r="Z54" s="280">
        <v>37172574.368658192</v>
      </c>
      <c r="AA54" s="280">
        <v>14635199.214241272</v>
      </c>
      <c r="AB54" s="280">
        <v>3936290.2926218612</v>
      </c>
      <c r="AC54" s="280">
        <v>1695990.459274092</v>
      </c>
      <c r="AD54" s="280">
        <v>17261110.652975023</v>
      </c>
      <c r="AE54" s="280">
        <v>179749.86329377812</v>
      </c>
      <c r="AF54" s="280">
        <v>9086301.2079067621</v>
      </c>
      <c r="AG54" s="280">
        <v>1498162239.9025762</v>
      </c>
    </row>
    <row r="55" spans="1:33" x14ac:dyDescent="0.35">
      <c r="A55" s="279" t="s">
        <v>335</v>
      </c>
      <c r="B55" s="279" t="s">
        <v>364</v>
      </c>
      <c r="C55" s="280">
        <v>569907399.04087043</v>
      </c>
      <c r="D55" s="280">
        <v>103539526.92531964</v>
      </c>
      <c r="E55" s="280">
        <v>1506371.5202784312</v>
      </c>
      <c r="F55" s="280">
        <v>8760419.8876640406</v>
      </c>
      <c r="G55" s="280">
        <v>7114632.9450858487</v>
      </c>
      <c r="H55" s="280">
        <v>185771.3668217939</v>
      </c>
      <c r="I55" s="280">
        <v>440768117.08552057</v>
      </c>
      <c r="J55" s="280">
        <v>62409053.627783835</v>
      </c>
      <c r="K55" s="280">
        <v>23503359.964076813</v>
      </c>
      <c r="L55" s="280">
        <v>258402.75094961078</v>
      </c>
      <c r="M55" s="280">
        <v>6644325.8922633315</v>
      </c>
      <c r="N55" s="280">
        <v>81543.481699094176</v>
      </c>
      <c r="O55" s="280">
        <v>45438815.426496081</v>
      </c>
      <c r="P55" s="280">
        <v>1162054.8016102337</v>
      </c>
      <c r="Q55" s="280">
        <v>5141788.6848056689</v>
      </c>
      <c r="R55" s="280">
        <v>137181.10983582301</v>
      </c>
      <c r="S55" s="280">
        <v>5952795.4452054957</v>
      </c>
      <c r="T55" s="280">
        <v>32707448.481490452</v>
      </c>
      <c r="U55" s="280">
        <v>44534287.42068179</v>
      </c>
      <c r="V55" s="280">
        <v>4203629.4851400647</v>
      </c>
      <c r="W55" s="280">
        <v>604102.33809140057</v>
      </c>
      <c r="X55" s="280">
        <v>2057609.2530899993</v>
      </c>
      <c r="Y55" s="280">
        <v>1370011.2431568459</v>
      </c>
      <c r="Z55" s="280">
        <v>43167817.07518959</v>
      </c>
      <c r="AA55" s="280">
        <v>15900556.479215331</v>
      </c>
      <c r="AB55" s="280">
        <v>4623701.0018450199</v>
      </c>
      <c r="AC55" s="280">
        <v>1815789.2523274948</v>
      </c>
      <c r="AD55" s="280">
        <v>10088298.223277986</v>
      </c>
      <c r="AE55" s="280">
        <v>179658.64115823875</v>
      </c>
      <c r="AF55" s="280">
        <v>9088309.0453974213</v>
      </c>
      <c r="AG55" s="280">
        <v>1452852777.8963485</v>
      </c>
    </row>
    <row r="56" spans="1:33" x14ac:dyDescent="0.35">
      <c r="A56" s="279" t="s">
        <v>335</v>
      </c>
      <c r="B56" s="279" t="s">
        <v>365</v>
      </c>
      <c r="C56" s="280">
        <v>502932711.96641934</v>
      </c>
      <c r="D56" s="280">
        <v>79070926.685992002</v>
      </c>
      <c r="E56" s="280">
        <v>1133115.074781714</v>
      </c>
      <c r="F56" s="280">
        <v>7267462.6211576471</v>
      </c>
      <c r="G56" s="280">
        <v>5611462.9201749731</v>
      </c>
      <c r="H56" s="280">
        <v>185713.11069311231</v>
      </c>
      <c r="I56" s="280">
        <v>414214712.51220953</v>
      </c>
      <c r="J56" s="280">
        <v>70862905.065538958</v>
      </c>
      <c r="K56" s="280">
        <v>26024080.696344662</v>
      </c>
      <c r="L56" s="280">
        <v>339946.19700973487</v>
      </c>
      <c r="M56" s="280">
        <v>8573921.4077999685</v>
      </c>
      <c r="N56" s="280">
        <v>87302.914939003284</v>
      </c>
      <c r="O56" s="280">
        <v>48739728.198474884</v>
      </c>
      <c r="P56" s="280">
        <v>843668.24522141798</v>
      </c>
      <c r="Q56" s="280">
        <v>6361645.0422036424</v>
      </c>
      <c r="R56" s="280">
        <v>530959.02890129725</v>
      </c>
      <c r="S56" s="280">
        <v>5949913.3088318836</v>
      </c>
      <c r="T56" s="280">
        <v>31191663.911371253</v>
      </c>
      <c r="U56" s="280">
        <v>42491835.284111492</v>
      </c>
      <c r="V56" s="280">
        <v>4383942.5042769806</v>
      </c>
      <c r="W56" s="280">
        <v>597994.70929127128</v>
      </c>
      <c r="X56" s="280">
        <v>907801.87031071435</v>
      </c>
      <c r="Y56" s="280">
        <v>871535.92519695079</v>
      </c>
      <c r="Z56" s="280">
        <v>41593203.905443721</v>
      </c>
      <c r="AA56" s="280">
        <v>8760144.045058867</v>
      </c>
      <c r="AB56" s="280">
        <v>3826380.2352179186</v>
      </c>
      <c r="AC56" s="280">
        <v>1926217.4387860463</v>
      </c>
      <c r="AD56" s="280">
        <v>19732873.915402789</v>
      </c>
      <c r="AE56" s="280">
        <v>179567.48446044183</v>
      </c>
      <c r="AF56" s="280">
        <v>9090317.7741560861</v>
      </c>
      <c r="AG56" s="280">
        <v>1344283653.999778</v>
      </c>
    </row>
    <row r="57" spans="1:33" x14ac:dyDescent="0.35">
      <c r="A57" s="279" t="s">
        <v>335</v>
      </c>
      <c r="B57" s="279" t="s">
        <v>366</v>
      </c>
      <c r="C57" s="280">
        <v>570579298.58784926</v>
      </c>
      <c r="D57" s="280">
        <v>71344091.928205788</v>
      </c>
      <c r="E57" s="280">
        <v>1027979.8862790008</v>
      </c>
      <c r="F57" s="280">
        <v>7741175.2181985024</v>
      </c>
      <c r="G57" s="280">
        <v>4891742.1637288351</v>
      </c>
      <c r="H57" s="280">
        <v>185654.89014924737</v>
      </c>
      <c r="I57" s="280">
        <v>430080908.78828108</v>
      </c>
      <c r="J57" s="280">
        <v>73324059.101049423</v>
      </c>
      <c r="K57" s="280">
        <v>25830239.575590208</v>
      </c>
      <c r="L57" s="280">
        <v>355315.82588385447</v>
      </c>
      <c r="M57" s="280">
        <v>8468536.4196856171</v>
      </c>
      <c r="N57" s="280">
        <v>80919.875837446321</v>
      </c>
      <c r="O57" s="280">
        <v>48485329.686538383</v>
      </c>
      <c r="P57" s="280">
        <v>853452.28046305769</v>
      </c>
      <c r="Q57" s="280">
        <v>6097080.6982393712</v>
      </c>
      <c r="R57" s="280">
        <v>3063981.3465394331</v>
      </c>
      <c r="S57" s="280">
        <v>5947032.6466446146</v>
      </c>
      <c r="T57" s="280">
        <v>30518206.091774009</v>
      </c>
      <c r="U57" s="280">
        <v>42747594.748235933</v>
      </c>
      <c r="V57" s="280">
        <v>4374485.6476273825</v>
      </c>
      <c r="W57" s="280">
        <v>696313.08983315749</v>
      </c>
      <c r="X57" s="280">
        <v>2177128.4660808663</v>
      </c>
      <c r="Y57" s="280">
        <v>1005970.0216413649</v>
      </c>
      <c r="Z57" s="280">
        <v>42961438.058240063</v>
      </c>
      <c r="AA57" s="280">
        <v>5704986.3793440517</v>
      </c>
      <c r="AB57" s="280">
        <v>3947199.0173838721</v>
      </c>
      <c r="AC57" s="280">
        <v>1823654.6664786658</v>
      </c>
      <c r="AD57" s="280">
        <v>18821838.794076122</v>
      </c>
      <c r="AE57" s="280">
        <v>179476.39794809517</v>
      </c>
      <c r="AF57" s="280">
        <v>9092327.9032975249</v>
      </c>
      <c r="AG57" s="280">
        <v>1422407418.2011242</v>
      </c>
    </row>
    <row r="58" spans="1:33" x14ac:dyDescent="0.35">
      <c r="A58" s="279" t="s">
        <v>335</v>
      </c>
      <c r="B58" s="279" t="s">
        <v>367</v>
      </c>
      <c r="C58" s="280">
        <v>817832297.5223037</v>
      </c>
      <c r="D58" s="280">
        <v>60716856.50225614</v>
      </c>
      <c r="E58" s="280">
        <v>1101797.0596477564</v>
      </c>
      <c r="F58" s="280">
        <v>9308162.412720561</v>
      </c>
      <c r="G58" s="280">
        <v>4255379.0345197441</v>
      </c>
      <c r="H58" s="280">
        <v>185596.71038298446</v>
      </c>
      <c r="I58" s="280">
        <v>463787973.61589348</v>
      </c>
      <c r="J58" s="280">
        <v>82313939.394807339</v>
      </c>
      <c r="K58" s="280">
        <v>28952993.291376434</v>
      </c>
      <c r="L58" s="280">
        <v>404211.75068942347</v>
      </c>
      <c r="M58" s="280">
        <v>8684599.3656440396</v>
      </c>
      <c r="N58" s="280">
        <v>99350.209956852312</v>
      </c>
      <c r="O58" s="280">
        <v>53758267.670776069</v>
      </c>
      <c r="P58" s="280">
        <v>1470172.9358730889</v>
      </c>
      <c r="Q58" s="280">
        <v>7154803.4229501318</v>
      </c>
      <c r="R58" s="280">
        <v>783810.74629496154</v>
      </c>
      <c r="S58" s="280">
        <v>5944153.6045421716</v>
      </c>
      <c r="T58" s="280">
        <v>27171175.564294338</v>
      </c>
      <c r="U58" s="280">
        <v>41147734.02911897</v>
      </c>
      <c r="V58" s="280">
        <v>4637267.6213087365</v>
      </c>
      <c r="W58" s="280">
        <v>307631.78852142836</v>
      </c>
      <c r="X58" s="280">
        <v>1885476.4830989367</v>
      </c>
      <c r="Y58" s="280">
        <v>1064324.4950289309</v>
      </c>
      <c r="Z58" s="280">
        <v>44200205.561915882</v>
      </c>
      <c r="AA58" s="280">
        <v>11412373.955519916</v>
      </c>
      <c r="AB58" s="280">
        <v>3509071.8114699814</v>
      </c>
      <c r="AC58" s="280">
        <v>1741212.5363806305</v>
      </c>
      <c r="AD58" s="280">
        <v>16132934.882674057</v>
      </c>
      <c r="AE58" s="280">
        <v>179385.38717458333</v>
      </c>
      <c r="AF58" s="280">
        <v>9094339.8496656604</v>
      </c>
      <c r="AG58" s="280">
        <v>1709237499.2168071</v>
      </c>
    </row>
    <row r="59" spans="1:33" x14ac:dyDescent="0.35">
      <c r="A59" s="279" t="s">
        <v>335</v>
      </c>
      <c r="B59" s="279" t="s">
        <v>368</v>
      </c>
      <c r="C59" s="280">
        <v>1114905477.3291445</v>
      </c>
      <c r="D59" s="280">
        <v>71514607.422392562</v>
      </c>
      <c r="E59" s="280">
        <v>1272182.8075190142</v>
      </c>
      <c r="F59" s="280">
        <v>11731857.739351936</v>
      </c>
      <c r="G59" s="280">
        <v>4571907.7803885015</v>
      </c>
      <c r="H59" s="280">
        <v>185538.57696553893</v>
      </c>
      <c r="I59" s="280">
        <v>517743342.39622432</v>
      </c>
      <c r="J59" s="280">
        <v>95255498.978109032</v>
      </c>
      <c r="K59" s="280">
        <v>31711176.149744056</v>
      </c>
      <c r="L59" s="280">
        <v>503448.78138279426</v>
      </c>
      <c r="M59" s="280">
        <v>10690495.686977545</v>
      </c>
      <c r="N59" s="280">
        <v>117847.98400858014</v>
      </c>
      <c r="O59" s="280">
        <v>66517943.397057086</v>
      </c>
      <c r="P59" s="280">
        <v>1013549.3709975118</v>
      </c>
      <c r="Q59" s="280">
        <v>8493806.3925784584</v>
      </c>
      <c r="R59" s="280">
        <v>651384.7114254575</v>
      </c>
      <c r="S59" s="280">
        <v>5941276.3767835144</v>
      </c>
      <c r="T59" s="280">
        <v>28659737.506689474</v>
      </c>
      <c r="U59" s="280">
        <v>46202323.368208647</v>
      </c>
      <c r="V59" s="280">
        <v>3607718.9795056409</v>
      </c>
      <c r="W59" s="280">
        <v>-480875.61909804092</v>
      </c>
      <c r="X59" s="280">
        <v>2169412.8652175907</v>
      </c>
      <c r="Y59" s="280">
        <v>1266568.3561629474</v>
      </c>
      <c r="Z59" s="280">
        <v>44574853.801817343</v>
      </c>
      <c r="AA59" s="280">
        <v>8516641.553333208</v>
      </c>
      <c r="AB59" s="280">
        <v>3286840.5818007253</v>
      </c>
      <c r="AC59" s="280">
        <v>1904872.3803956376</v>
      </c>
      <c r="AD59" s="280">
        <v>14617633.697698463</v>
      </c>
      <c r="AE59" s="280">
        <v>179294.45846966028</v>
      </c>
      <c r="AF59" s="280">
        <v>9096353.9447814748</v>
      </c>
      <c r="AG59" s="280">
        <v>2106422717.7560337</v>
      </c>
    </row>
    <row r="60" spans="1:33" x14ac:dyDescent="0.35">
      <c r="A60" s="279" t="s">
        <v>335</v>
      </c>
      <c r="B60" s="279" t="s">
        <v>370</v>
      </c>
      <c r="C60" s="280">
        <v>1070360888.0442709</v>
      </c>
      <c r="D60" s="280">
        <v>68235043.685934439</v>
      </c>
      <c r="E60" s="280">
        <v>1079018.1603216745</v>
      </c>
      <c r="F60" s="280">
        <v>10983270.246498961</v>
      </c>
      <c r="G60" s="280">
        <v>4245084.7800649758</v>
      </c>
      <c r="H60" s="280">
        <v>185480.49519252966</v>
      </c>
      <c r="I60" s="280">
        <v>530720309.14045537</v>
      </c>
      <c r="J60" s="280">
        <v>92518487.624630988</v>
      </c>
      <c r="K60" s="280">
        <v>32705261.485705674</v>
      </c>
      <c r="L60" s="280">
        <v>442109.41341621277</v>
      </c>
      <c r="M60" s="280">
        <v>10287107.388244547</v>
      </c>
      <c r="N60" s="280">
        <v>142194.84541104423</v>
      </c>
      <c r="O60" s="280">
        <v>60625396.911336601</v>
      </c>
      <c r="P60" s="280">
        <v>707805.45213756093</v>
      </c>
      <c r="Q60" s="280">
        <v>9338090.711665513</v>
      </c>
      <c r="R60" s="280">
        <v>920228.33922613109</v>
      </c>
      <c r="S60" s="280">
        <v>5938401.1722407024</v>
      </c>
      <c r="T60" s="280">
        <v>30041296.184957415</v>
      </c>
      <c r="U60" s="280">
        <v>47011220.657560699</v>
      </c>
      <c r="V60" s="280">
        <v>4953401.8900019759</v>
      </c>
      <c r="W60" s="280">
        <v>1367293.2549402346</v>
      </c>
      <c r="X60" s="280">
        <v>2296022.0824905662</v>
      </c>
      <c r="Y60" s="280">
        <v>3721497.2645030483</v>
      </c>
      <c r="Z60" s="280">
        <v>48872871.892622471</v>
      </c>
      <c r="AA60" s="280">
        <v>8865657.2513515949</v>
      </c>
      <c r="AB60" s="280">
        <v>5017288.4978787098</v>
      </c>
      <c r="AC60" s="280">
        <v>1985032.8908551103</v>
      </c>
      <c r="AD60" s="280">
        <v>17163383.513905421</v>
      </c>
      <c r="AE60" s="280">
        <v>179203.61798268146</v>
      </c>
      <c r="AF60" s="280">
        <v>9098370.4018606152</v>
      </c>
      <c r="AG60" s="280">
        <v>2080006717.2976651</v>
      </c>
    </row>
    <row r="61" spans="1:33" x14ac:dyDescent="0.35">
      <c r="A61" s="279" t="s">
        <v>335</v>
      </c>
      <c r="B61" s="279" t="s">
        <v>371</v>
      </c>
      <c r="C61" s="280">
        <v>780181528.49447441</v>
      </c>
      <c r="D61" s="280">
        <v>51005675.299609646</v>
      </c>
      <c r="E61" s="280">
        <v>878980.40658264526</v>
      </c>
      <c r="F61" s="280">
        <v>8140758.475350799</v>
      </c>
      <c r="G61" s="280">
        <v>3179927.357525622</v>
      </c>
      <c r="H61" s="280">
        <v>185422.46785637407</v>
      </c>
      <c r="I61" s="280">
        <v>389339742.90332556</v>
      </c>
      <c r="J61" s="280">
        <v>70273991.270680144</v>
      </c>
      <c r="K61" s="280">
        <v>24911110.214855373</v>
      </c>
      <c r="L61" s="280">
        <v>363520.96325876476</v>
      </c>
      <c r="M61" s="280">
        <v>7956012.8757125065</v>
      </c>
      <c r="N61" s="280">
        <v>105342.26016927797</v>
      </c>
      <c r="O61" s="280">
        <v>48391300.49929288</v>
      </c>
      <c r="P61" s="280">
        <v>575555.00750992389</v>
      </c>
      <c r="Q61" s="280">
        <v>6991128.5662677735</v>
      </c>
      <c r="R61" s="280">
        <v>643017.83744265512</v>
      </c>
      <c r="S61" s="280">
        <v>5935528.1293487409</v>
      </c>
      <c r="T61" s="280">
        <v>28588326.789463129</v>
      </c>
      <c r="U61" s="280">
        <v>41547360.934261955</v>
      </c>
      <c r="V61" s="280">
        <v>4507848.0742083173</v>
      </c>
      <c r="W61" s="280">
        <v>580857.71594120446</v>
      </c>
      <c r="X61" s="280">
        <v>2120248.247872456</v>
      </c>
      <c r="Y61" s="280">
        <v>1068845.74475296</v>
      </c>
      <c r="Z61" s="280">
        <v>44288645.366004817</v>
      </c>
      <c r="AA61" s="280">
        <v>7746287.8190739667</v>
      </c>
      <c r="AB61" s="280">
        <v>4627461.609202479</v>
      </c>
      <c r="AC61" s="280">
        <v>1833008.9187404753</v>
      </c>
      <c r="AD61" s="280">
        <v>16485637.336404158</v>
      </c>
      <c r="AE61" s="280">
        <v>179112.86941886286</v>
      </c>
      <c r="AF61" s="280">
        <v>9100389.2250104658</v>
      </c>
      <c r="AG61" s="280">
        <v>1561732573.6796176</v>
      </c>
    </row>
    <row r="62" spans="1:33" x14ac:dyDescent="0.35">
      <c r="A62" s="279" t="s">
        <v>335</v>
      </c>
      <c r="B62" s="279" t="s">
        <v>372</v>
      </c>
      <c r="C62" s="280">
        <v>556169608.87731171</v>
      </c>
      <c r="D62" s="280">
        <v>43033851.356114052</v>
      </c>
      <c r="E62" s="280">
        <v>756968.30849153653</v>
      </c>
      <c r="F62" s="280">
        <v>6286980.7166369054</v>
      </c>
      <c r="G62" s="280">
        <v>2842505.7564258552</v>
      </c>
      <c r="H62" s="280">
        <v>185364.49078823277</v>
      </c>
      <c r="I62" s="280">
        <v>408002671.31233609</v>
      </c>
      <c r="J62" s="280">
        <v>77939853.603676125</v>
      </c>
      <c r="K62" s="280">
        <v>25279938.859920181</v>
      </c>
      <c r="L62" s="280">
        <v>352004.1287978912</v>
      </c>
      <c r="M62" s="280">
        <v>8778028.3967343308</v>
      </c>
      <c r="N62" s="280">
        <v>81457.770824850915</v>
      </c>
      <c r="O62" s="280">
        <v>53025901.219194822</v>
      </c>
      <c r="P62" s="280">
        <v>972263.07911340578</v>
      </c>
      <c r="Q62" s="280">
        <v>6885959.0764441006</v>
      </c>
      <c r="R62" s="280">
        <v>2096538.0796068227</v>
      </c>
      <c r="S62" s="280">
        <v>5932657.1715996405</v>
      </c>
      <c r="T62" s="280">
        <v>26101641.78701809</v>
      </c>
      <c r="U62" s="280">
        <v>42677322.038360745</v>
      </c>
      <c r="V62" s="280">
        <v>3981133.0437041931</v>
      </c>
      <c r="W62" s="280">
        <v>490317.84556261409</v>
      </c>
      <c r="X62" s="280">
        <v>1868506.538125826</v>
      </c>
      <c r="Y62" s="280">
        <v>2391175.3654912203</v>
      </c>
      <c r="Z62" s="280">
        <v>43843186.346460029</v>
      </c>
      <c r="AA62" s="280">
        <v>7775768.2719653053</v>
      </c>
      <c r="AB62" s="280">
        <v>4111468.801075737</v>
      </c>
      <c r="AC62" s="280">
        <v>1737176.6519282106</v>
      </c>
      <c r="AD62" s="280">
        <v>16902903.959857173</v>
      </c>
      <c r="AE62" s="280">
        <v>179022.20999507015</v>
      </c>
      <c r="AF62" s="280">
        <v>9102410.0381347481</v>
      </c>
      <c r="AG62" s="280">
        <v>1359784585.101696</v>
      </c>
    </row>
    <row r="63" spans="1:33" x14ac:dyDescent="0.35">
      <c r="A63" s="279" t="s">
        <v>335</v>
      </c>
      <c r="B63" s="279" t="s">
        <v>373</v>
      </c>
      <c r="C63" s="280">
        <v>577000968.23706043</v>
      </c>
      <c r="D63" s="280">
        <v>59942526.822966628</v>
      </c>
      <c r="E63" s="280">
        <v>1022819.0493834984</v>
      </c>
      <c r="F63" s="280">
        <v>7309955.7256533895</v>
      </c>
      <c r="G63" s="280">
        <v>4145198.3361941637</v>
      </c>
      <c r="H63" s="280">
        <v>185306.54775497431</v>
      </c>
      <c r="I63" s="280">
        <v>405306881.90350854</v>
      </c>
      <c r="J63" s="280">
        <v>76501575.066299468</v>
      </c>
      <c r="K63" s="280">
        <v>26883023.25397351</v>
      </c>
      <c r="L63" s="280">
        <v>349080.28396301548</v>
      </c>
      <c r="M63" s="280">
        <v>7129378.4933042089</v>
      </c>
      <c r="N63" s="280">
        <v>71089.13228570178</v>
      </c>
      <c r="O63" s="280">
        <v>56944960.898076661</v>
      </c>
      <c r="P63" s="280">
        <v>1519901.92991938</v>
      </c>
      <c r="Q63" s="280">
        <v>6843304.6575434925</v>
      </c>
      <c r="R63" s="280">
        <v>653398.76021652343</v>
      </c>
      <c r="S63" s="280">
        <v>5929787.8372987099</v>
      </c>
      <c r="T63" s="280">
        <v>27124122.817830168</v>
      </c>
      <c r="U63" s="280">
        <v>41294217.251814321</v>
      </c>
      <c r="V63" s="280">
        <v>4045741.8685674472</v>
      </c>
      <c r="W63" s="280">
        <v>240131.83737781519</v>
      </c>
      <c r="X63" s="280">
        <v>1667112.6679644284</v>
      </c>
      <c r="Y63" s="280">
        <v>1285092.2461027564</v>
      </c>
      <c r="Z63" s="280">
        <v>37089114.160302699</v>
      </c>
      <c r="AA63" s="280">
        <v>8562535.1079105642</v>
      </c>
      <c r="AB63" s="280">
        <v>3238581.8455546373</v>
      </c>
      <c r="AC63" s="280">
        <v>1468440.495522778</v>
      </c>
      <c r="AD63" s="280">
        <v>18416942.434442744</v>
      </c>
      <c r="AE63" s="280">
        <v>178931.62575320216</v>
      </c>
      <c r="AF63" s="280">
        <v>9104431.8359970376</v>
      </c>
      <c r="AG63" s="280">
        <v>1391454553.1305428</v>
      </c>
    </row>
    <row r="64" spans="1:33" x14ac:dyDescent="0.35">
      <c r="A64" s="279" t="s">
        <v>335</v>
      </c>
      <c r="B64" s="279" t="s">
        <v>374</v>
      </c>
      <c r="C64" s="280">
        <v>721646254.33029449</v>
      </c>
      <c r="D64" s="280">
        <v>103517460.90906125</v>
      </c>
      <c r="E64" s="280">
        <v>1593822.4048377667</v>
      </c>
      <c r="F64" s="280">
        <v>10186741.814979542</v>
      </c>
      <c r="G64" s="280">
        <v>7526975.7636982063</v>
      </c>
      <c r="H64" s="280">
        <v>185190.6754291777</v>
      </c>
      <c r="I64" s="280">
        <v>430127162.3175801</v>
      </c>
      <c r="J64" s="280">
        <v>81202245.166143253</v>
      </c>
      <c r="K64" s="280">
        <v>30024233.087932892</v>
      </c>
      <c r="L64" s="280">
        <v>338720.26005849533</v>
      </c>
      <c r="M64" s="280">
        <v>5823889.6652629608</v>
      </c>
      <c r="N64" s="280">
        <v>95938.977514029859</v>
      </c>
      <c r="O64" s="280">
        <v>64863718.116716437</v>
      </c>
      <c r="P64" s="280">
        <v>1657905.5057493364</v>
      </c>
      <c r="Q64" s="280">
        <v>6754397.3535366505</v>
      </c>
      <c r="R64" s="280">
        <v>373153.21627687087</v>
      </c>
      <c r="S64" s="280">
        <v>5924051.2697437797</v>
      </c>
      <c r="T64" s="280">
        <v>25117149.055390678</v>
      </c>
      <c r="U64" s="280">
        <v>41375442.485030882</v>
      </c>
      <c r="V64" s="280">
        <v>3757939.2823438123</v>
      </c>
      <c r="W64" s="280">
        <v>235037.0034033902</v>
      </c>
      <c r="X64" s="280">
        <v>1322762.3285427066</v>
      </c>
      <c r="Y64" s="280">
        <v>1261192.8306322943</v>
      </c>
      <c r="Z64" s="280">
        <v>45253271.302225351</v>
      </c>
      <c r="AA64" s="280">
        <v>10218453.906927485</v>
      </c>
      <c r="AB64" s="280">
        <v>3638599.9794761706</v>
      </c>
      <c r="AC64" s="280">
        <v>2298832.7234057412</v>
      </c>
      <c r="AD64" s="280">
        <v>16357927.447177427</v>
      </c>
      <c r="AE64" s="280">
        <v>178750.57350978893</v>
      </c>
      <c r="AF64" s="280">
        <v>9108472.9563495182</v>
      </c>
      <c r="AG64" s="280">
        <v>1631965692.7092302</v>
      </c>
    </row>
    <row r="65" spans="1:33" x14ac:dyDescent="0.35">
      <c r="A65" s="279" t="s">
        <v>335</v>
      </c>
      <c r="B65" s="279" t="s">
        <v>375</v>
      </c>
      <c r="C65" s="280">
        <v>717643032.95133781</v>
      </c>
      <c r="D65" s="280">
        <v>119483148.4456618</v>
      </c>
      <c r="E65" s="280">
        <v>1720887.5064729189</v>
      </c>
      <c r="F65" s="280">
        <v>10540231.388476381</v>
      </c>
      <c r="G65" s="280">
        <v>8338083.1507429844</v>
      </c>
      <c r="H65" s="280">
        <v>185132.79017985411</v>
      </c>
      <c r="I65" s="280">
        <v>450656757.45128769</v>
      </c>
      <c r="J65" s="280">
        <v>77328537.642347679</v>
      </c>
      <c r="K65" s="280">
        <v>30804880.782399081</v>
      </c>
      <c r="L65" s="280">
        <v>358112.96981186216</v>
      </c>
      <c r="M65" s="280">
        <v>9343309.5975191984</v>
      </c>
      <c r="N65" s="280">
        <v>125615.60791948538</v>
      </c>
      <c r="O65" s="280">
        <v>62298530.822024062</v>
      </c>
      <c r="P65" s="280">
        <v>1115699.0380311287</v>
      </c>
      <c r="Q65" s="280">
        <v>7405045.7240215698</v>
      </c>
      <c r="R65" s="280">
        <v>219896.45234377438</v>
      </c>
      <c r="S65" s="280">
        <v>5921185.5500183124</v>
      </c>
      <c r="T65" s="280">
        <v>26384984.895419728</v>
      </c>
      <c r="U65" s="280">
        <v>38598672.216794178</v>
      </c>
      <c r="V65" s="280">
        <v>3937739.0997330961</v>
      </c>
      <c r="W65" s="280">
        <v>273419.57294622378</v>
      </c>
      <c r="X65" s="280">
        <v>1578107.8557836718</v>
      </c>
      <c r="Y65" s="280">
        <v>1255187.2496346829</v>
      </c>
      <c r="Z65" s="280">
        <v>39459301.234874532</v>
      </c>
      <c r="AA65" s="280">
        <v>17099042.149025586</v>
      </c>
      <c r="AB65" s="280">
        <v>3999639.8229226358</v>
      </c>
      <c r="AC65" s="280">
        <v>1931445.4805422756</v>
      </c>
      <c r="AD65" s="280">
        <v>16761606.135019735</v>
      </c>
      <c r="AE65" s="280">
        <v>178660.17224385776</v>
      </c>
      <c r="AF65" s="280">
        <v>9110494.4526391886</v>
      </c>
      <c r="AG65" s="280">
        <v>1664056388.2081754</v>
      </c>
    </row>
    <row r="66" spans="1:33" x14ac:dyDescent="0.35">
      <c r="A66" s="279" t="s">
        <v>335</v>
      </c>
      <c r="B66" s="279" t="s">
        <v>376</v>
      </c>
      <c r="C66" s="280">
        <v>607857103.94768476</v>
      </c>
      <c r="D66" s="280">
        <v>111584239.5740758</v>
      </c>
      <c r="E66" s="280">
        <v>1423132.103366768</v>
      </c>
      <c r="F66" s="280">
        <v>9308902.1310280431</v>
      </c>
      <c r="G66" s="280">
        <v>7799013.899312418</v>
      </c>
      <c r="H66" s="280">
        <v>185074.94013583774</v>
      </c>
      <c r="I66" s="280">
        <v>437836648.20158219</v>
      </c>
      <c r="J66" s="280">
        <v>66651882.748681106</v>
      </c>
      <c r="K66" s="280">
        <v>27243704.148059487</v>
      </c>
      <c r="L66" s="280">
        <v>293019.50622256618</v>
      </c>
      <c r="M66" s="280">
        <v>8139511.0923177954</v>
      </c>
      <c r="N66" s="280">
        <v>98955.115476183753</v>
      </c>
      <c r="O66" s="280">
        <v>55211815.064488858</v>
      </c>
      <c r="P66" s="280">
        <v>2553899.2059184434</v>
      </c>
      <c r="Q66" s="280">
        <v>6632399.2727181083</v>
      </c>
      <c r="R66" s="280">
        <v>202986.76458713238</v>
      </c>
      <c r="S66" s="280">
        <v>5918321.410238686</v>
      </c>
      <c r="T66" s="280">
        <v>27601460.566581927</v>
      </c>
      <c r="U66" s="280">
        <v>36169130.111291774</v>
      </c>
      <c r="V66" s="280">
        <v>3977079.7394792731</v>
      </c>
      <c r="W66" s="280">
        <v>610185.40814247262</v>
      </c>
      <c r="X66" s="280">
        <v>1750632.2044170036</v>
      </c>
      <c r="Y66" s="280">
        <v>1195102.590086899</v>
      </c>
      <c r="Z66" s="280">
        <v>36895900.929090887</v>
      </c>
      <c r="AA66" s="280">
        <v>15070749.030983221</v>
      </c>
      <c r="AB66" s="280">
        <v>3888470.3502193075</v>
      </c>
      <c r="AC66" s="280">
        <v>1690165.35923277</v>
      </c>
      <c r="AD66" s="280">
        <v>17131340.893492341</v>
      </c>
      <c r="AE66" s="280">
        <v>178569.84399452023</v>
      </c>
      <c r="AF66" s="280">
        <v>9112517.1112943105</v>
      </c>
      <c r="AG66" s="280">
        <v>1504211913.2642012</v>
      </c>
    </row>
    <row r="67" spans="1:33" x14ac:dyDescent="0.35">
      <c r="A67" s="279" t="s">
        <v>335</v>
      </c>
      <c r="B67" s="279" t="s">
        <v>377</v>
      </c>
      <c r="C67" s="280">
        <v>554966753.27729607</v>
      </c>
      <c r="D67" s="280">
        <v>100254785.81901869</v>
      </c>
      <c r="E67" s="280">
        <v>1466392.053083732</v>
      </c>
      <c r="F67" s="280">
        <v>8514348.3795814179</v>
      </c>
      <c r="G67" s="280">
        <v>6866124.6822866052</v>
      </c>
      <c r="H67" s="280">
        <v>185017.12623733323</v>
      </c>
      <c r="I67" s="280">
        <v>429279603.73789161</v>
      </c>
      <c r="J67" s="280">
        <v>60106035.355468087</v>
      </c>
      <c r="K67" s="280">
        <v>22707246.02002129</v>
      </c>
      <c r="L67" s="280">
        <v>250374.27976317928</v>
      </c>
      <c r="M67" s="280">
        <v>6437889.3168659611</v>
      </c>
      <c r="N67" s="280">
        <v>76725.746239386906</v>
      </c>
      <c r="O67" s="280">
        <v>44092864.221505955</v>
      </c>
      <c r="P67" s="280">
        <v>1125655.8561658375</v>
      </c>
      <c r="Q67" s="280">
        <v>4975310.1125382641</v>
      </c>
      <c r="R67" s="280">
        <v>132629.65461448138</v>
      </c>
      <c r="S67" s="280">
        <v>5915458.8775962638</v>
      </c>
      <c r="T67" s="280">
        <v>32719415.365183681</v>
      </c>
      <c r="U67" s="280">
        <v>43640960.770994581</v>
      </c>
      <c r="V67" s="280">
        <v>4095151.6775367022</v>
      </c>
      <c r="W67" s="280">
        <v>590875.72969502117</v>
      </c>
      <c r="X67" s="280">
        <v>2021371.1335265632</v>
      </c>
      <c r="Y67" s="280">
        <v>1377314.1206487564</v>
      </c>
      <c r="Z67" s="280">
        <v>42046872.780656703</v>
      </c>
      <c r="AA67" s="280">
        <v>16031656.046061739</v>
      </c>
      <c r="AB67" s="280">
        <v>4528940.9568340611</v>
      </c>
      <c r="AC67" s="280">
        <v>1757852.7595533479</v>
      </c>
      <c r="AD67" s="280">
        <v>9489575.2813267373</v>
      </c>
      <c r="AE67" s="280">
        <v>178479.58976622907</v>
      </c>
      <c r="AF67" s="280">
        <v>9114541.0079998858</v>
      </c>
      <c r="AG67" s="280">
        <v>1414946221.7359588</v>
      </c>
    </row>
    <row r="68" spans="1:33" x14ac:dyDescent="0.35">
      <c r="A68" s="279" t="s">
        <v>335</v>
      </c>
      <c r="B68" s="279" t="s">
        <v>379</v>
      </c>
      <c r="C68" s="280">
        <v>522492995.62515312</v>
      </c>
      <c r="D68" s="280">
        <v>82140241.022305056</v>
      </c>
      <c r="E68" s="280">
        <v>1180253.3596840706</v>
      </c>
      <c r="F68" s="280">
        <v>7551600.1329227416</v>
      </c>
      <c r="G68" s="280">
        <v>5830747.8980944734</v>
      </c>
      <c r="H68" s="280">
        <v>184959.34896682025</v>
      </c>
      <c r="I68" s="280">
        <v>390618834.48162824</v>
      </c>
      <c r="J68" s="280">
        <v>66891673.156080574</v>
      </c>
      <c r="K68" s="280">
        <v>24584459.892582882</v>
      </c>
      <c r="L68" s="280">
        <v>321032.22196748154</v>
      </c>
      <c r="M68" s="280">
        <v>8096884.3444415983</v>
      </c>
      <c r="N68" s="280">
        <v>83004.255138732115</v>
      </c>
      <c r="O68" s="280">
        <v>46039166.527522437</v>
      </c>
      <c r="P68" s="280">
        <v>830085.12300862104</v>
      </c>
      <c r="Q68" s="280">
        <v>6002959.3364288472</v>
      </c>
      <c r="R68" s="280">
        <v>498180.67381046369</v>
      </c>
      <c r="S68" s="280">
        <v>5912597.9721237738</v>
      </c>
      <c r="T68" s="280">
        <v>29287783.916161571</v>
      </c>
      <c r="U68" s="280">
        <v>38933039.307392545</v>
      </c>
      <c r="V68" s="280">
        <v>3987560.422434893</v>
      </c>
      <c r="W68" s="280">
        <v>545028.28873392288</v>
      </c>
      <c r="X68" s="280">
        <v>830460.41557219054</v>
      </c>
      <c r="Y68" s="280">
        <v>787623.26705254312</v>
      </c>
      <c r="Z68" s="280">
        <v>38012397.437604278</v>
      </c>
      <c r="AA68" s="280">
        <v>7955030.2945298031</v>
      </c>
      <c r="AB68" s="280">
        <v>3485305.241112968</v>
      </c>
      <c r="AC68" s="280">
        <v>1754195.5481965006</v>
      </c>
      <c r="AD68" s="280">
        <v>17997067.194917101</v>
      </c>
      <c r="AE68" s="280">
        <v>178389.41026739709</v>
      </c>
      <c r="AF68" s="280">
        <v>9116566.1717446819</v>
      </c>
      <c r="AG68" s="280">
        <v>1322130122.2875805</v>
      </c>
    </row>
    <row r="69" spans="1:33" x14ac:dyDescent="0.35">
      <c r="A69" s="279" t="s">
        <v>335</v>
      </c>
      <c r="B69" s="279" t="s">
        <v>380</v>
      </c>
      <c r="C69" s="280">
        <v>602861123.49402833</v>
      </c>
      <c r="D69" s="280">
        <v>75613291.599064842</v>
      </c>
      <c r="E69" s="280">
        <v>1090747.4061158476</v>
      </c>
      <c r="F69" s="280">
        <v>8190433.0365369692</v>
      </c>
      <c r="G69" s="280">
        <v>5182193.189219987</v>
      </c>
      <c r="H69" s="280">
        <v>184901.60841089458</v>
      </c>
      <c r="I69" s="280">
        <v>386772846.15713626</v>
      </c>
      <c r="J69" s="280">
        <v>65730121.687923916</v>
      </c>
      <c r="K69" s="280">
        <v>23160869.444240991</v>
      </c>
      <c r="L69" s="280">
        <v>318691.09005914681</v>
      </c>
      <c r="M69" s="280">
        <v>7595628.7510745199</v>
      </c>
      <c r="N69" s="280">
        <v>73437.307992456423</v>
      </c>
      <c r="O69" s="280">
        <v>43444331.927166499</v>
      </c>
      <c r="P69" s="280">
        <v>757225.20110253675</v>
      </c>
      <c r="Q69" s="280">
        <v>5451972.3215839323</v>
      </c>
      <c r="R69" s="280">
        <v>2746517.1838608729</v>
      </c>
      <c r="S69" s="280">
        <v>5909738.7064682906</v>
      </c>
      <c r="T69" s="280">
        <v>29529727.634815179</v>
      </c>
      <c r="U69" s="280">
        <v>40276436.961504661</v>
      </c>
      <c r="V69" s="280">
        <v>4090806.4513087012</v>
      </c>
      <c r="W69" s="280">
        <v>652131.92263170565</v>
      </c>
      <c r="X69" s="280">
        <v>2053736.2778862475</v>
      </c>
      <c r="Y69" s="280">
        <v>940901.96795127483</v>
      </c>
      <c r="Z69" s="280">
        <v>40357171.552390769</v>
      </c>
      <c r="AA69" s="280">
        <v>5474988.753321562</v>
      </c>
      <c r="AB69" s="280">
        <v>3732572.2212190903</v>
      </c>
      <c r="AC69" s="280">
        <v>1710427.6421133496</v>
      </c>
      <c r="AD69" s="280">
        <v>17545257.428940415</v>
      </c>
      <c r="AE69" s="280">
        <v>178299.30587175553</v>
      </c>
      <c r="AF69" s="280">
        <v>9118592.5913792104</v>
      </c>
      <c r="AG69" s="280">
        <v>1390745120.8233202</v>
      </c>
    </row>
    <row r="70" spans="1:33" x14ac:dyDescent="0.35">
      <c r="A70" s="279" t="s">
        <v>335</v>
      </c>
      <c r="B70" s="279" t="s">
        <v>381</v>
      </c>
      <c r="C70" s="280">
        <v>835325452.29409981</v>
      </c>
      <c r="D70" s="280">
        <v>61956322.579009272</v>
      </c>
      <c r="E70" s="280">
        <v>1126441.6404841682</v>
      </c>
      <c r="F70" s="280">
        <v>9511748.4769305214</v>
      </c>
      <c r="G70" s="280">
        <v>4347829.3839504421</v>
      </c>
      <c r="H70" s="280">
        <v>184843.90423215815</v>
      </c>
      <c r="I70" s="280">
        <v>434749479.48176509</v>
      </c>
      <c r="J70" s="280">
        <v>76459339.281397492</v>
      </c>
      <c r="K70" s="280">
        <v>26935364.722232401</v>
      </c>
      <c r="L70" s="280">
        <v>375974.46249240497</v>
      </c>
      <c r="M70" s="280">
        <v>8077913.5512285223</v>
      </c>
      <c r="N70" s="280">
        <v>92429.48757890203</v>
      </c>
      <c r="O70" s="280">
        <v>49891318.753484294</v>
      </c>
      <c r="P70" s="280">
        <v>1425594.607544865</v>
      </c>
      <c r="Q70" s="280">
        <v>6649814.668495046</v>
      </c>
      <c r="R70" s="280">
        <v>693652.78949415998</v>
      </c>
      <c r="S70" s="280">
        <v>5906881.0822410518</v>
      </c>
      <c r="T70" s="280">
        <v>27326402.080626551</v>
      </c>
      <c r="U70" s="280">
        <v>40620918.186543211</v>
      </c>
      <c r="V70" s="280">
        <v>4576123.3599383533</v>
      </c>
      <c r="W70" s="280">
        <v>290410.35058843746</v>
      </c>
      <c r="X70" s="280">
        <v>1868545.8302000358</v>
      </c>
      <c r="Y70" s="280">
        <v>1043334.476636737</v>
      </c>
      <c r="Z70" s="280">
        <v>43497905.028160647</v>
      </c>
      <c r="AA70" s="280">
        <v>11072026.374875514</v>
      </c>
      <c r="AB70" s="280">
        <v>3473527.080412854</v>
      </c>
      <c r="AC70" s="280">
        <v>1714266.1497264975</v>
      </c>
      <c r="AD70" s="280">
        <v>15873263.57909715</v>
      </c>
      <c r="AE70" s="280">
        <v>178209.27652441245</v>
      </c>
      <c r="AF70" s="280">
        <v>9120620.2199770957</v>
      </c>
      <c r="AG70" s="280">
        <v>1684365953.1599677</v>
      </c>
    </row>
    <row r="71" spans="1:33" x14ac:dyDescent="0.35">
      <c r="A71" s="279" t="s">
        <v>335</v>
      </c>
      <c r="B71" s="279" t="s">
        <v>382</v>
      </c>
      <c r="C71" s="280">
        <v>1124660356.2929137</v>
      </c>
      <c r="D71" s="280">
        <v>72100704.994411781</v>
      </c>
      <c r="E71" s="280">
        <v>1281911.1626616528</v>
      </c>
      <c r="F71" s="280">
        <v>11837525.004311638</v>
      </c>
      <c r="G71" s="280">
        <v>4610298.6358688306</v>
      </c>
      <c r="H71" s="280">
        <v>184786.23560254861</v>
      </c>
      <c r="I71" s="280">
        <v>492283672.06826377</v>
      </c>
      <c r="J71" s="280">
        <v>89896850.636101097</v>
      </c>
      <c r="K71" s="280">
        <v>30022158.00759488</v>
      </c>
      <c r="L71" s="280">
        <v>476165.0854086802</v>
      </c>
      <c r="M71" s="280">
        <v>10111139.365297824</v>
      </c>
      <c r="N71" s="280">
        <v>111906.67262133776</v>
      </c>
      <c r="O71" s="280">
        <v>63008258.0528832</v>
      </c>
      <c r="P71" s="280">
        <v>989751.62600808858</v>
      </c>
      <c r="Q71" s="280">
        <v>8034374.3568361532</v>
      </c>
      <c r="R71" s="280">
        <v>641455.09044766938</v>
      </c>
      <c r="S71" s="280">
        <v>5904025.0851025665</v>
      </c>
      <c r="T71" s="280">
        <v>29824848.718000848</v>
      </c>
      <c r="U71" s="280">
        <v>47257948.360624753</v>
      </c>
      <c r="V71" s="280">
        <v>3645933.2077852935</v>
      </c>
      <c r="W71" s="280">
        <v>-540085.24847936293</v>
      </c>
      <c r="X71" s="280">
        <v>2220521.5319600389</v>
      </c>
      <c r="Y71" s="280">
        <v>1293589.0655733582</v>
      </c>
      <c r="Z71" s="280">
        <v>45589780.091032639</v>
      </c>
      <c r="AA71" s="280">
        <v>8680562.7181618102</v>
      </c>
      <c r="AB71" s="280">
        <v>3427209.6385059883</v>
      </c>
      <c r="AC71" s="280">
        <v>1949356.851396085</v>
      </c>
      <c r="AD71" s="280">
        <v>14911060.223075049</v>
      </c>
      <c r="AE71" s="280">
        <v>178119.32164226304</v>
      </c>
      <c r="AF71" s="280">
        <v>9122648.9789813068</v>
      </c>
      <c r="AG71" s="280">
        <v>2083716831.830595</v>
      </c>
    </row>
    <row r="72" spans="1:33" x14ac:dyDescent="0.35">
      <c r="A72" s="279" t="s">
        <v>335</v>
      </c>
      <c r="B72" s="279" t="s">
        <v>383</v>
      </c>
      <c r="C72" s="280">
        <v>1031378562.2690448</v>
      </c>
      <c r="D72" s="280">
        <v>65696397.943763636</v>
      </c>
      <c r="E72" s="280">
        <v>1043214.7314259828</v>
      </c>
      <c r="F72" s="280">
        <v>10581773.211722972</v>
      </c>
      <c r="G72" s="280">
        <v>4088196.4492064654</v>
      </c>
      <c r="H72" s="280">
        <v>184728.60118543889</v>
      </c>
      <c r="I72" s="280">
        <v>494212516.72408992</v>
      </c>
      <c r="J72" s="280">
        <v>86118721.777569905</v>
      </c>
      <c r="K72" s="280">
        <v>30437093.46487011</v>
      </c>
      <c r="L72" s="280">
        <v>411358.91117424477</v>
      </c>
      <c r="M72" s="280">
        <v>9571597.3601697199</v>
      </c>
      <c r="N72" s="280">
        <v>133441.95903251084</v>
      </c>
      <c r="O72" s="280">
        <v>56465530.80091285</v>
      </c>
      <c r="P72" s="280">
        <v>687469.98059463082</v>
      </c>
      <c r="Q72" s="280">
        <v>8710670.8774170112</v>
      </c>
      <c r="R72" s="280">
        <v>889411.78429125191</v>
      </c>
      <c r="S72" s="280">
        <v>5901170.6822330179</v>
      </c>
      <c r="T72" s="280">
        <v>29623375.913124032</v>
      </c>
      <c r="U72" s="280">
        <v>45483010.224912487</v>
      </c>
      <c r="V72" s="280">
        <v>4763695.4567271732</v>
      </c>
      <c r="W72" s="280">
        <v>1342061.8973063484</v>
      </c>
      <c r="X72" s="280">
        <v>2225658.2818313716</v>
      </c>
      <c r="Y72" s="280">
        <v>3674081.5984853678</v>
      </c>
      <c r="Z72" s="280">
        <v>47069062.971857131</v>
      </c>
      <c r="AA72" s="280">
        <v>8523573.3718456533</v>
      </c>
      <c r="AB72" s="280">
        <v>4806785.7855616491</v>
      </c>
      <c r="AC72" s="280">
        <v>1918369.4188682814</v>
      </c>
      <c r="AD72" s="280">
        <v>16581055.188878626</v>
      </c>
      <c r="AE72" s="280">
        <v>178029.44008517935</v>
      </c>
      <c r="AF72" s="280">
        <v>9124678.7654529717</v>
      </c>
      <c r="AG72" s="280">
        <v>1981825295.8436408</v>
      </c>
    </row>
    <row r="73" spans="1:33" x14ac:dyDescent="0.35">
      <c r="A73" s="279" t="s">
        <v>335</v>
      </c>
      <c r="B73" s="279" t="s">
        <v>384</v>
      </c>
      <c r="C73" s="280">
        <v>781342949.47966146</v>
      </c>
      <c r="D73" s="280">
        <v>51096347.590748511</v>
      </c>
      <c r="E73" s="280">
        <v>880767.16301894153</v>
      </c>
      <c r="F73" s="280">
        <v>8153566.2957960609</v>
      </c>
      <c r="G73" s="280">
        <v>3184389.0537426448</v>
      </c>
      <c r="H73" s="280">
        <v>184670.99930128761</v>
      </c>
      <c r="I73" s="280">
        <v>396737943.4499653</v>
      </c>
      <c r="J73" s="280">
        <v>71154859.359641626</v>
      </c>
      <c r="K73" s="280">
        <v>25290860.578580715</v>
      </c>
      <c r="L73" s="280">
        <v>368848.98290893441</v>
      </c>
      <c r="M73" s="280">
        <v>8072621.8122613039</v>
      </c>
      <c r="N73" s="280">
        <v>107860.55243293296</v>
      </c>
      <c r="O73" s="280">
        <v>49080380.5356282</v>
      </c>
      <c r="P73" s="280">
        <v>611731.25350722775</v>
      </c>
      <c r="Q73" s="280">
        <v>7101755.1874358486</v>
      </c>
      <c r="R73" s="280">
        <v>680048.86911388021</v>
      </c>
      <c r="S73" s="280">
        <v>5898317.8266348513</v>
      </c>
      <c r="T73" s="280">
        <v>26789955.705822751</v>
      </c>
      <c r="U73" s="280">
        <v>38380945.568840049</v>
      </c>
      <c r="V73" s="280">
        <v>4132912.49481394</v>
      </c>
      <c r="W73" s="280">
        <v>536255.81402721547</v>
      </c>
      <c r="X73" s="280">
        <v>1959344.504378672</v>
      </c>
      <c r="Y73" s="280">
        <v>983407.89756968804</v>
      </c>
      <c r="Z73" s="280">
        <v>40696014.534054644</v>
      </c>
      <c r="AA73" s="280">
        <v>7093829.7140195426</v>
      </c>
      <c r="AB73" s="280">
        <v>4254791.4542422723</v>
      </c>
      <c r="AC73" s="280">
        <v>1679510.3794280463</v>
      </c>
      <c r="AD73" s="280">
        <v>15135854.012011221</v>
      </c>
      <c r="AE73" s="280">
        <v>177939.6303122484</v>
      </c>
      <c r="AF73" s="280">
        <v>9126709.4675117116</v>
      </c>
      <c r="AG73" s="280">
        <v>1560895390.1674116</v>
      </c>
    </row>
    <row r="74" spans="1:33" x14ac:dyDescent="0.35">
      <c r="A74" s="279" t="s">
        <v>335</v>
      </c>
      <c r="B74" s="279" t="s">
        <v>385</v>
      </c>
      <c r="C74" s="280">
        <v>564838336.60091972</v>
      </c>
      <c r="D74" s="280">
        <v>43822394.154375598</v>
      </c>
      <c r="E74" s="280">
        <v>771239.90980212402</v>
      </c>
      <c r="F74" s="280">
        <v>6396267.2720080931</v>
      </c>
      <c r="G74" s="280">
        <v>2898434.2880668188</v>
      </c>
      <c r="H74" s="280">
        <v>184613.42847733389</v>
      </c>
      <c r="I74" s="280">
        <v>395299193.99822837</v>
      </c>
      <c r="J74" s="280">
        <v>75266248.581728861</v>
      </c>
      <c r="K74" s="280">
        <v>24500291.674330313</v>
      </c>
      <c r="L74" s="280">
        <v>340781.1892901106</v>
      </c>
      <c r="M74" s="280">
        <v>8498158.7201184239</v>
      </c>
      <c r="N74" s="280">
        <v>78431.310604148181</v>
      </c>
      <c r="O74" s="280">
        <v>51152302.877018571</v>
      </c>
      <c r="P74" s="280">
        <v>945150.047156026</v>
      </c>
      <c r="Q74" s="280">
        <v>6683699.9288212638</v>
      </c>
      <c r="R74" s="280">
        <v>2043253.226812022</v>
      </c>
      <c r="S74" s="280">
        <v>5895466.4737602128</v>
      </c>
      <c r="T74" s="280">
        <v>25499815.766671173</v>
      </c>
      <c r="U74" s="280">
        <v>41263818.704095177</v>
      </c>
      <c r="V74" s="280">
        <v>3829284.4352937378</v>
      </c>
      <c r="W74" s="280">
        <v>483946.67171379022</v>
      </c>
      <c r="X74" s="280">
        <v>1813649.1864259737</v>
      </c>
      <c r="Y74" s="280">
        <v>2366902.1591105843</v>
      </c>
      <c r="Z74" s="280">
        <v>42289398.700611904</v>
      </c>
      <c r="AA74" s="280">
        <v>7507443.0572280288</v>
      </c>
      <c r="AB74" s="280">
        <v>3932457.2156375884</v>
      </c>
      <c r="AC74" s="280">
        <v>1676689.45168384</v>
      </c>
      <c r="AD74" s="280">
        <v>16364198.536193121</v>
      </c>
      <c r="AE74" s="280">
        <v>177849.8908861072</v>
      </c>
      <c r="AF74" s="280">
        <v>9128740.9953591991</v>
      </c>
      <c r="AG74" s="280">
        <v>1345948458.4524279</v>
      </c>
    </row>
    <row r="75" spans="1:33" x14ac:dyDescent="0.35">
      <c r="A75" s="279" t="s">
        <v>335</v>
      </c>
      <c r="B75" s="279" t="s">
        <v>386</v>
      </c>
      <c r="C75" s="280">
        <v>586744284.5078392</v>
      </c>
      <c r="D75" s="280">
        <v>61025807.108088993</v>
      </c>
      <c r="E75" s="280">
        <v>1042613.1800689859</v>
      </c>
      <c r="F75" s="280">
        <v>7448675.8982025571</v>
      </c>
      <c r="G75" s="280">
        <v>4233980.4384735422</v>
      </c>
      <c r="H75" s="280">
        <v>184555.88846680959</v>
      </c>
      <c r="I75" s="280">
        <v>395095333.26592416</v>
      </c>
      <c r="J75" s="280">
        <v>73968037.681847855</v>
      </c>
      <c r="K75" s="280">
        <v>26111900.319553543</v>
      </c>
      <c r="L75" s="280">
        <v>338591.18038304133</v>
      </c>
      <c r="M75" s="280">
        <v>6915156.1699230596</v>
      </c>
      <c r="N75" s="280">
        <v>68941.626758369297</v>
      </c>
      <c r="O75" s="280">
        <v>55155726.451780491</v>
      </c>
      <c r="P75" s="280">
        <v>1516233.2232671694</v>
      </c>
      <c r="Q75" s="280">
        <v>6682270.1879823217</v>
      </c>
      <c r="R75" s="280">
        <v>616708.35534221889</v>
      </c>
      <c r="S75" s="280">
        <v>5892616.6136156553</v>
      </c>
      <c r="T75" s="280">
        <v>26663197.129486635</v>
      </c>
      <c r="U75" s="280">
        <v>40563301.959589526</v>
      </c>
      <c r="V75" s="280">
        <v>3926977.7877769889</v>
      </c>
      <c r="W75" s="280">
        <v>248693.75817107424</v>
      </c>
      <c r="X75" s="280">
        <v>1629110.7684506462</v>
      </c>
      <c r="Y75" s="280">
        <v>1269299.1857802861</v>
      </c>
      <c r="Z75" s="280">
        <v>36412943.256452858</v>
      </c>
      <c r="AA75" s="280">
        <v>8345871.7732240725</v>
      </c>
      <c r="AB75" s="280">
        <v>3172514.4357595472</v>
      </c>
      <c r="AC75" s="280">
        <v>1419651.6373673806</v>
      </c>
      <c r="AD75" s="280">
        <v>18039889.100054014</v>
      </c>
      <c r="AE75" s="280">
        <v>177760.22140744445</v>
      </c>
      <c r="AF75" s="280">
        <v>9130773.3356983624</v>
      </c>
      <c r="AG75" s="280">
        <v>1384041416.4467368</v>
      </c>
    </row>
    <row r="76" spans="1:33" x14ac:dyDescent="0.35">
      <c r="A76" s="279" t="s">
        <v>335</v>
      </c>
      <c r="B76" s="279" t="s">
        <v>387</v>
      </c>
      <c r="C76" s="280">
        <v>708310967.91458881</v>
      </c>
      <c r="D76" s="280">
        <v>101639784.64817865</v>
      </c>
      <c r="E76" s="280">
        <v>1566091.0069313957</v>
      </c>
      <c r="F76" s="280">
        <v>10001297.163403593</v>
      </c>
      <c r="G76" s="280">
        <v>7379552.4503106158</v>
      </c>
      <c r="H76" s="280">
        <v>184440.86222038948</v>
      </c>
      <c r="I76" s="280">
        <v>423745374.06460536</v>
      </c>
      <c r="J76" s="280">
        <v>79308265.744462058</v>
      </c>
      <c r="K76" s="280">
        <v>29389283.301025957</v>
      </c>
      <c r="L76" s="280">
        <v>331146.98201282747</v>
      </c>
      <c r="M76" s="280">
        <v>5693676.2090772847</v>
      </c>
      <c r="N76" s="280">
        <v>92772.943449738639</v>
      </c>
      <c r="O76" s="280">
        <v>63321725.3448046</v>
      </c>
      <c r="P76" s="280">
        <v>1704501.6325975519</v>
      </c>
      <c r="Q76" s="280">
        <v>6646109.6373718288</v>
      </c>
      <c r="R76" s="280">
        <v>371445.58450076595</v>
      </c>
      <c r="S76" s="280">
        <v>5886919.6768322112</v>
      </c>
      <c r="T76" s="280">
        <v>25462629.892077483</v>
      </c>
      <c r="U76" s="280">
        <v>41563167.840421781</v>
      </c>
      <c r="V76" s="280">
        <v>3795562.9306541844</v>
      </c>
      <c r="W76" s="280">
        <v>251121.15235320677</v>
      </c>
      <c r="X76" s="280">
        <v>1356204.7261621593</v>
      </c>
      <c r="Y76" s="280">
        <v>1284087.7709352684</v>
      </c>
      <c r="Z76" s="280">
        <v>45379383.632543959</v>
      </c>
      <c r="AA76" s="280">
        <v>10360011.682747653</v>
      </c>
      <c r="AB76" s="280">
        <v>3661596.3466488225</v>
      </c>
      <c r="AC76" s="280">
        <v>2342162.0325270225</v>
      </c>
      <c r="AD76" s="280">
        <v>16456536.689575292</v>
      </c>
      <c r="AE76" s="280">
        <v>177581.01500172575</v>
      </c>
      <c r="AF76" s="280">
        <v>9134839.0175713617</v>
      </c>
      <c r="AG76" s="280">
        <v>1606798239.8955936</v>
      </c>
    </row>
    <row r="77" spans="1:33" x14ac:dyDescent="0.35">
      <c r="A77" s="279" t="s">
        <v>335</v>
      </c>
      <c r="B77" s="279" t="s">
        <v>388</v>
      </c>
      <c r="C77" s="280">
        <v>733134120.89826608</v>
      </c>
      <c r="D77" s="280">
        <v>122202215.47476424</v>
      </c>
      <c r="E77" s="280">
        <v>1758701.0756761413</v>
      </c>
      <c r="F77" s="280">
        <v>10777106.848730316</v>
      </c>
      <c r="G77" s="280">
        <v>8525969.9859027378</v>
      </c>
      <c r="H77" s="280">
        <v>184383.42085605767</v>
      </c>
      <c r="I77" s="280">
        <v>423053528.03067559</v>
      </c>
      <c r="J77" s="280">
        <v>72364681.454156086</v>
      </c>
      <c r="K77" s="280">
        <v>28863836.274983782</v>
      </c>
      <c r="L77" s="280">
        <v>335169.69031121355</v>
      </c>
      <c r="M77" s="280">
        <v>8744710.3240285031</v>
      </c>
      <c r="N77" s="280">
        <v>115983.29885695563</v>
      </c>
      <c r="O77" s="280">
        <v>58212020.458682753</v>
      </c>
      <c r="P77" s="280">
        <v>1036810.0967207861</v>
      </c>
      <c r="Q77" s="280">
        <v>6990358.0265465034</v>
      </c>
      <c r="R77" s="280">
        <v>205539.3492874417</v>
      </c>
      <c r="S77" s="280">
        <v>5884074.4230767312</v>
      </c>
      <c r="T77" s="280">
        <v>25640007.787847102</v>
      </c>
      <c r="U77" s="280">
        <v>37281887.980168626</v>
      </c>
      <c r="V77" s="280">
        <v>3777990.4564636773</v>
      </c>
      <c r="W77" s="280">
        <v>279747.71730808477</v>
      </c>
      <c r="X77" s="280">
        <v>1516343.5267141007</v>
      </c>
      <c r="Y77" s="280">
        <v>1216754.9906180904</v>
      </c>
      <c r="Z77" s="280">
        <v>38060825.771414116</v>
      </c>
      <c r="AA77" s="280">
        <v>16839251.819902163</v>
      </c>
      <c r="AB77" s="280">
        <v>3834766.9710744834</v>
      </c>
      <c r="AC77" s="280">
        <v>1857542.6386593392</v>
      </c>
      <c r="AD77" s="280">
        <v>16062279.835335761</v>
      </c>
      <c r="AE77" s="280">
        <v>177491.55896064112</v>
      </c>
      <c r="AF77" s="280">
        <v>9136874.3149244133</v>
      </c>
      <c r="AG77" s="280">
        <v>1638070974.5009122</v>
      </c>
    </row>
    <row r="78" spans="1:33" x14ac:dyDescent="0.35">
      <c r="A78" s="279" t="s">
        <v>335</v>
      </c>
      <c r="B78" s="279" t="s">
        <v>389</v>
      </c>
      <c r="C78" s="280">
        <v>608491996.68151796</v>
      </c>
      <c r="D78" s="280">
        <v>111446134.63901339</v>
      </c>
      <c r="E78" s="280">
        <v>1432855.8302312556</v>
      </c>
      <c r="F78" s="280">
        <v>9307467.9738150127</v>
      </c>
      <c r="G78" s="280">
        <v>7787923.9760914715</v>
      </c>
      <c r="H78" s="280">
        <v>184326.01333483003</v>
      </c>
      <c r="I78" s="280">
        <v>399262356.63819432</v>
      </c>
      <c r="J78" s="280">
        <v>61095678.881705135</v>
      </c>
      <c r="K78" s="280">
        <v>24942790.455771022</v>
      </c>
      <c r="L78" s="280">
        <v>269021.22548302624</v>
      </c>
      <c r="M78" s="280">
        <v>7472885.6010862533</v>
      </c>
      <c r="N78" s="280">
        <v>90018.775793067092</v>
      </c>
      <c r="O78" s="280">
        <v>50546529.939366646</v>
      </c>
      <c r="P78" s="280">
        <v>2260960.3050908986</v>
      </c>
      <c r="Q78" s="280">
        <v>6129019.048327894</v>
      </c>
      <c r="R78" s="280">
        <v>185732.77482680569</v>
      </c>
      <c r="S78" s="280">
        <v>5881230.7369907601</v>
      </c>
      <c r="T78" s="280">
        <v>26257096.168870386</v>
      </c>
      <c r="U78" s="280">
        <v>34011263.889844991</v>
      </c>
      <c r="V78" s="280">
        <v>3709742.692196683</v>
      </c>
      <c r="W78" s="280">
        <v>571034.27847796958</v>
      </c>
      <c r="X78" s="280">
        <v>1617865.0649727262</v>
      </c>
      <c r="Y78" s="280">
        <v>1131596.2556379403</v>
      </c>
      <c r="Z78" s="280">
        <v>34461926.212883234</v>
      </c>
      <c r="AA78" s="280">
        <v>14381638.679129813</v>
      </c>
      <c r="AB78" s="280">
        <v>3636170.3783875355</v>
      </c>
      <c r="AC78" s="280">
        <v>1582231.9230506024</v>
      </c>
      <c r="AD78" s="280">
        <v>16097520.417210732</v>
      </c>
      <c r="AE78" s="280">
        <v>177402.17513926522</v>
      </c>
      <c r="AF78" s="280">
        <v>9138910.6679196469</v>
      </c>
      <c r="AG78" s="280">
        <v>1443561328.3003604</v>
      </c>
    </row>
    <row r="79" spans="1:33" x14ac:dyDescent="0.35">
      <c r="A79" s="279" t="s">
        <v>335</v>
      </c>
      <c r="B79" s="279" t="s">
        <v>390</v>
      </c>
      <c r="C79" s="280">
        <v>571375902.81516528</v>
      </c>
      <c r="D79" s="280">
        <v>103154720.13854748</v>
      </c>
      <c r="E79" s="280">
        <v>1499892.1553576642</v>
      </c>
      <c r="F79" s="280">
        <v>8757454.2016442586</v>
      </c>
      <c r="G79" s="280">
        <v>7070715.4127058098</v>
      </c>
      <c r="H79" s="280">
        <v>184268.63946560363</v>
      </c>
      <c r="I79" s="280">
        <v>404914697.38288844</v>
      </c>
      <c r="J79" s="280">
        <v>57588506.662092753</v>
      </c>
      <c r="K79" s="280">
        <v>21729820.564654402</v>
      </c>
      <c r="L79" s="280">
        <v>240527.3682800298</v>
      </c>
      <c r="M79" s="280">
        <v>6184695.0738252848</v>
      </c>
      <c r="N79" s="280">
        <v>73761.289233166841</v>
      </c>
      <c r="O79" s="280">
        <v>42334837.380589761</v>
      </c>
      <c r="P79" s="280">
        <v>1056960.0922879062</v>
      </c>
      <c r="Q79" s="280">
        <v>4800654.4027395817</v>
      </c>
      <c r="R79" s="280">
        <v>127522.69387264831</v>
      </c>
      <c r="S79" s="280">
        <v>5878388.6152991271</v>
      </c>
      <c r="T79" s="280">
        <v>31244124.804975718</v>
      </c>
      <c r="U79" s="280">
        <v>41986963.406170443</v>
      </c>
      <c r="V79" s="280">
        <v>3906900.8516715504</v>
      </c>
      <c r="W79" s="280">
        <v>565845.09226450825</v>
      </c>
      <c r="X79" s="280">
        <v>1891373.3388456018</v>
      </c>
      <c r="Y79" s="280">
        <v>1333618.9240626886</v>
      </c>
      <c r="Z79" s="280">
        <v>40230912.646570101</v>
      </c>
      <c r="AA79" s="280">
        <v>15654013.821927594</v>
      </c>
      <c r="AB79" s="280">
        <v>4334155.4697864</v>
      </c>
      <c r="AC79" s="280">
        <v>1682345.0706585569</v>
      </c>
      <c r="AD79" s="280">
        <v>9328803.2259153426</v>
      </c>
      <c r="AE79" s="280">
        <v>177312.86338791691</v>
      </c>
      <c r="AF79" s="280">
        <v>9140948.0613114834</v>
      </c>
      <c r="AG79" s="280">
        <v>1398450642.4661968</v>
      </c>
    </row>
    <row r="80" spans="1:33" x14ac:dyDescent="0.35">
      <c r="A80" s="279" t="s">
        <v>335</v>
      </c>
      <c r="B80" s="279" t="s">
        <v>391</v>
      </c>
      <c r="C80" s="280">
        <v>503706924.60596097</v>
      </c>
      <c r="D80" s="280">
        <v>79153960.97892715</v>
      </c>
      <c r="E80" s="280">
        <v>1134271.5689924539</v>
      </c>
      <c r="F80" s="280">
        <v>7284006.442273207</v>
      </c>
      <c r="G80" s="280">
        <v>5625685.1293540429</v>
      </c>
      <c r="H80" s="280">
        <v>184211.29900135199</v>
      </c>
      <c r="I80" s="280">
        <v>381309438.0413444</v>
      </c>
      <c r="J80" s="280">
        <v>65244384.358037539</v>
      </c>
      <c r="K80" s="280">
        <v>24004109.844281454</v>
      </c>
      <c r="L80" s="280">
        <v>313312.59469379921</v>
      </c>
      <c r="M80" s="280">
        <v>7902184.482745056</v>
      </c>
      <c r="N80" s="280">
        <v>80890.69309066706</v>
      </c>
      <c r="O80" s="280">
        <v>44805244.495146975</v>
      </c>
      <c r="P80" s="280">
        <v>788039.70241991687</v>
      </c>
      <c r="Q80" s="280">
        <v>5865553.34993695</v>
      </c>
      <c r="R80" s="280">
        <v>479089.37121902121</v>
      </c>
      <c r="S80" s="280">
        <v>5875548.0527972374</v>
      </c>
      <c r="T80" s="280">
        <v>29921124.896838274</v>
      </c>
      <c r="U80" s="280">
        <v>40032243.564182065</v>
      </c>
      <c r="V80" s="280">
        <v>4110207.4472987507</v>
      </c>
      <c r="W80" s="280">
        <v>561402.76743700716</v>
      </c>
      <c r="X80" s="280">
        <v>861642.17393184907</v>
      </c>
      <c r="Y80" s="280">
        <v>813242.37727577041</v>
      </c>
      <c r="Z80" s="280">
        <v>39224943.504836671</v>
      </c>
      <c r="AA80" s="280">
        <v>8215618.9746223297</v>
      </c>
      <c r="AB80" s="280">
        <v>3594767.2199515929</v>
      </c>
      <c r="AC80" s="280">
        <v>1812658.8028010607</v>
      </c>
      <c r="AD80" s="280">
        <v>18486397.370713484</v>
      </c>
      <c r="AE80" s="280">
        <v>177223.62348600759</v>
      </c>
      <c r="AF80" s="280">
        <v>9142986.4761568084</v>
      </c>
      <c r="AG80" s="280">
        <v>1290711314.2097538</v>
      </c>
    </row>
    <row r="81" spans="1:33" x14ac:dyDescent="0.35">
      <c r="A81" s="279" t="s">
        <v>335</v>
      </c>
      <c r="B81" s="279" t="s">
        <v>392</v>
      </c>
      <c r="C81" s="280">
        <v>571348938.95461035</v>
      </c>
      <c r="D81" s="280">
        <v>71502080.535586715</v>
      </c>
      <c r="E81" s="280">
        <v>1031813.0997932437</v>
      </c>
      <c r="F81" s="280">
        <v>7760870.1240558997</v>
      </c>
      <c r="G81" s="280">
        <v>4918443.5691764932</v>
      </c>
      <c r="H81" s="280">
        <v>184153.99166735509</v>
      </c>
      <c r="I81" s="280">
        <v>395837554.33537579</v>
      </c>
      <c r="J81" s="280">
        <v>67569595.848152056</v>
      </c>
      <c r="K81" s="280">
        <v>23820097.636721831</v>
      </c>
      <c r="L81" s="280">
        <v>327891.82420344732</v>
      </c>
      <c r="M81" s="280">
        <v>7814917.4697659407</v>
      </c>
      <c r="N81" s="280">
        <v>75378.555434796639</v>
      </c>
      <c r="O81" s="280">
        <v>44663065.515306175</v>
      </c>
      <c r="P81" s="280">
        <v>767760.57590624085</v>
      </c>
      <c r="Q81" s="280">
        <v>5629156.6842800537</v>
      </c>
      <c r="R81" s="280">
        <v>2768620.7553926297</v>
      </c>
      <c r="S81" s="280">
        <v>5872709.0428034579</v>
      </c>
      <c r="T81" s="280">
        <v>29369525.851859368</v>
      </c>
      <c r="U81" s="280">
        <v>40310823.448978171</v>
      </c>
      <c r="V81" s="280">
        <v>4100088.4885104257</v>
      </c>
      <c r="W81" s="280">
        <v>653099.66744411946</v>
      </c>
      <c r="X81" s="280">
        <v>2040834.5111234672</v>
      </c>
      <c r="Y81" s="280">
        <v>946525.35136669606</v>
      </c>
      <c r="Z81" s="280">
        <v>40493363.426454537</v>
      </c>
      <c r="AA81" s="280">
        <v>5328166.550615143</v>
      </c>
      <c r="AB81" s="280">
        <v>3725471.3423692603</v>
      </c>
      <c r="AC81" s="280">
        <v>1715527.6123442312</v>
      </c>
      <c r="AD81" s="280">
        <v>17529254.503149591</v>
      </c>
      <c r="AE81" s="280">
        <v>177134.45516391293</v>
      </c>
      <c r="AF81" s="280">
        <v>9145025.8928614836</v>
      </c>
      <c r="AG81" s="280">
        <v>1367427889.6204729</v>
      </c>
    </row>
    <row r="82" spans="1:33" x14ac:dyDescent="0.35">
      <c r="A82" s="279" t="s">
        <v>335</v>
      </c>
      <c r="B82" s="279" t="s">
        <v>393</v>
      </c>
      <c r="C82" s="280">
        <v>818886729.689659</v>
      </c>
      <c r="D82" s="280">
        <v>60943405.534342118</v>
      </c>
      <c r="E82" s="280">
        <v>1104704.6136963428</v>
      </c>
      <c r="F82" s="280">
        <v>9333891.160449937</v>
      </c>
      <c r="G82" s="280">
        <v>4277420.0327529265</v>
      </c>
      <c r="H82" s="280">
        <v>184096.71719410756</v>
      </c>
      <c r="I82" s="280">
        <v>426995182.08759391</v>
      </c>
      <c r="J82" s="280">
        <v>75799964.567408308</v>
      </c>
      <c r="K82" s="280">
        <v>26671720.361977823</v>
      </c>
      <c r="L82" s="280">
        <v>372203.02712874202</v>
      </c>
      <c r="M82" s="280">
        <v>7996883.2370158108</v>
      </c>
      <c r="N82" s="280">
        <v>91711.656585392702</v>
      </c>
      <c r="O82" s="280">
        <v>49435037.916760229</v>
      </c>
      <c r="P82" s="280">
        <v>1393329.0361568897</v>
      </c>
      <c r="Q82" s="280">
        <v>6585798.9576154724</v>
      </c>
      <c r="R82" s="280">
        <v>705677.64664698497</v>
      </c>
      <c r="S82" s="280">
        <v>5869871.5779509041</v>
      </c>
      <c r="T82" s="280">
        <v>26192861.169265296</v>
      </c>
      <c r="U82" s="280">
        <v>38821730.959301777</v>
      </c>
      <c r="V82" s="280">
        <v>4338314.8980499282</v>
      </c>
      <c r="W82" s="280">
        <v>294474.05826821545</v>
      </c>
      <c r="X82" s="280">
        <v>1778781.3069538011</v>
      </c>
      <c r="Y82" s="280">
        <v>998581.34445930016</v>
      </c>
      <c r="Z82" s="280">
        <v>41509273.924754672</v>
      </c>
      <c r="AA82" s="280">
        <v>10734316.592800336</v>
      </c>
      <c r="AB82" s="280">
        <v>3301374.1630285108</v>
      </c>
      <c r="AC82" s="280">
        <v>1637990.6254871653</v>
      </c>
      <c r="AD82" s="280">
        <v>15122359.47968724</v>
      </c>
      <c r="AE82" s="280">
        <v>177045.35813439722</v>
      </c>
      <c r="AF82" s="280">
        <v>9147066.2941166442</v>
      </c>
      <c r="AG82" s="280">
        <v>1650701797.9952421</v>
      </c>
    </row>
    <row r="83" spans="1:33" x14ac:dyDescent="0.35">
      <c r="A83" s="279" t="s">
        <v>335</v>
      </c>
      <c r="B83" s="279" t="s">
        <v>394</v>
      </c>
      <c r="C83" s="280">
        <v>1116547860.7260993</v>
      </c>
      <c r="D83" s="280">
        <v>71622303.635530576</v>
      </c>
      <c r="E83" s="280">
        <v>1274232.9772391419</v>
      </c>
      <c r="F83" s="280">
        <v>11759068.527617497</v>
      </c>
      <c r="G83" s="280">
        <v>4586938.7121984717</v>
      </c>
      <c r="H83" s="280">
        <v>184039.47535849828</v>
      </c>
      <c r="I83" s="280">
        <v>476909722.67755741</v>
      </c>
      <c r="J83" s="280">
        <v>87585970.798135549</v>
      </c>
      <c r="K83" s="280">
        <v>29265255.496130075</v>
      </c>
      <c r="L83" s="280">
        <v>463552.44711524842</v>
      </c>
      <c r="M83" s="280">
        <v>9843315.9833303578</v>
      </c>
      <c r="N83" s="280">
        <v>109157.18925567892</v>
      </c>
      <c r="O83" s="280">
        <v>61062123.593402646</v>
      </c>
      <c r="P83" s="280">
        <v>948004.19762909412</v>
      </c>
      <c r="Q83" s="280">
        <v>7821756.3581496496</v>
      </c>
      <c r="R83" s="280">
        <v>612673.04720173811</v>
      </c>
      <c r="S83" s="280">
        <v>5867035.6514514992</v>
      </c>
      <c r="T83" s="280">
        <v>27624593.324198376</v>
      </c>
      <c r="U83" s="280">
        <v>43486395.73797264</v>
      </c>
      <c r="V83" s="280">
        <v>3396963.1051340564</v>
      </c>
      <c r="W83" s="280">
        <v>-432146.59391440003</v>
      </c>
      <c r="X83" s="280">
        <v>2037915.4528701806</v>
      </c>
      <c r="Y83" s="280">
        <v>1191815.3798043965</v>
      </c>
      <c r="Z83" s="280">
        <v>41832654.779288948</v>
      </c>
      <c r="AA83" s="280">
        <v>7973049.5781806558</v>
      </c>
      <c r="AB83" s="280">
        <v>3111465.7413957124</v>
      </c>
      <c r="AC83" s="280">
        <v>1790655.3819449244</v>
      </c>
      <c r="AD83" s="280">
        <v>13771291.244099097</v>
      </c>
      <c r="AE83" s="280">
        <v>176956.33213487038</v>
      </c>
      <c r="AF83" s="280">
        <v>9149107.6677334681</v>
      </c>
      <c r="AG83" s="280">
        <v>2041573728.6242452</v>
      </c>
    </row>
    <row r="84" spans="1:33" x14ac:dyDescent="0.35">
      <c r="A84" s="279" t="s">
        <v>335</v>
      </c>
      <c r="B84" s="279" t="s">
        <v>395</v>
      </c>
      <c r="C84" s="280">
        <v>1071947677.4629908</v>
      </c>
      <c r="D84" s="280">
        <v>68326175.399162576</v>
      </c>
      <c r="E84" s="280">
        <v>1082272.0652884785</v>
      </c>
      <c r="F84" s="280">
        <v>11009084.50913509</v>
      </c>
      <c r="G84" s="280">
        <v>4259373.2260518773</v>
      </c>
      <c r="H84" s="280">
        <v>183982.26602990064</v>
      </c>
      <c r="I84" s="280">
        <v>488722906.9610551</v>
      </c>
      <c r="J84" s="280">
        <v>85146932.363703698</v>
      </c>
      <c r="K84" s="280">
        <v>30123606.397680655</v>
      </c>
      <c r="L84" s="280">
        <v>407004.16694028443</v>
      </c>
      <c r="M84" s="280">
        <v>9470270.1316066962</v>
      </c>
      <c r="N84" s="280">
        <v>130909.84475505093</v>
      </c>
      <c r="O84" s="280">
        <v>55750235.836498007</v>
      </c>
      <c r="P84" s="280">
        <v>662076.63503641763</v>
      </c>
      <c r="Q84" s="280">
        <v>8612318.5098164771</v>
      </c>
      <c r="R84" s="280">
        <v>854538.67770620028</v>
      </c>
      <c r="S84" s="280">
        <v>5864201.258674074</v>
      </c>
      <c r="T84" s="280">
        <v>28905411.741984282</v>
      </c>
      <c r="U84" s="280">
        <v>44328918.944014087</v>
      </c>
      <c r="V84" s="280">
        <v>4645966.4609205425</v>
      </c>
      <c r="W84" s="280">
        <v>1277180.370811014</v>
      </c>
      <c r="X84" s="280">
        <v>2160170.5770150507</v>
      </c>
      <c r="Y84" s="280">
        <v>3458935.9123958983</v>
      </c>
      <c r="Z84" s="280">
        <v>45915635.821661279</v>
      </c>
      <c r="AA84" s="280">
        <v>8336761.6192135531</v>
      </c>
      <c r="AB84" s="280">
        <v>4710410.3112313673</v>
      </c>
      <c r="AC84" s="280">
        <v>1866913.7828395688</v>
      </c>
      <c r="AD84" s="280">
        <v>16209268.334772432</v>
      </c>
      <c r="AE84" s="280">
        <v>176867.37697552843</v>
      </c>
      <c r="AF84" s="280">
        <v>9151150.009108657</v>
      </c>
      <c r="AG84" s="280">
        <v>2013697156.9750743</v>
      </c>
    </row>
    <row r="85" spans="1:33" x14ac:dyDescent="0.35">
      <c r="A85" s="279" t="s">
        <v>335</v>
      </c>
      <c r="B85" s="279" t="s">
        <v>396</v>
      </c>
      <c r="C85" s="280">
        <v>781319517.58785641</v>
      </c>
      <c r="D85" s="280">
        <v>51094382.012095243</v>
      </c>
      <c r="E85" s="280">
        <v>881306.96753252076</v>
      </c>
      <c r="F85" s="280">
        <v>8159526.3005627524</v>
      </c>
      <c r="G85" s="280">
        <v>3189605.8318489203</v>
      </c>
      <c r="H85" s="280">
        <v>183925.08920633225</v>
      </c>
      <c r="I85" s="280">
        <v>358300290.3803618</v>
      </c>
      <c r="J85" s="280">
        <v>64735076.735901356</v>
      </c>
      <c r="K85" s="280">
        <v>22971147.160624627</v>
      </c>
      <c r="L85" s="280">
        <v>334759.33802750584</v>
      </c>
      <c r="M85" s="280">
        <v>7326536.4938967275</v>
      </c>
      <c r="N85" s="280">
        <v>96327.887683784284</v>
      </c>
      <c r="O85" s="280">
        <v>44544998.205863588</v>
      </c>
      <c r="P85" s="280">
        <v>540565.75284459477</v>
      </c>
      <c r="Q85" s="280">
        <v>6439459.605359952</v>
      </c>
      <c r="R85" s="280">
        <v>603721.6955375853</v>
      </c>
      <c r="S85" s="280">
        <v>5861368.3984968131</v>
      </c>
      <c r="T85" s="280">
        <v>27310575.13615799</v>
      </c>
      <c r="U85" s="280">
        <v>39241204.580635317</v>
      </c>
      <c r="V85" s="280">
        <v>4236191.8412892967</v>
      </c>
      <c r="W85" s="280">
        <v>548588.80641142314</v>
      </c>
      <c r="X85" s="280">
        <v>1993237.7497414625</v>
      </c>
      <c r="Y85" s="280">
        <v>1007280.9085169689</v>
      </c>
      <c r="Z85" s="280">
        <v>41690288.064134017</v>
      </c>
      <c r="AA85" s="280">
        <v>7298257.8765789736</v>
      </c>
      <c r="AB85" s="280">
        <v>4348877.1005260032</v>
      </c>
      <c r="AC85" s="280">
        <v>1726397.2700603006</v>
      </c>
      <c r="AD85" s="280">
        <v>15504052.161928322</v>
      </c>
      <c r="AE85" s="280">
        <v>176778.49257854276</v>
      </c>
      <c r="AF85" s="280">
        <v>9153193.3226053733</v>
      </c>
      <c r="AG85" s="280">
        <v>1510817438.7548652</v>
      </c>
    </row>
    <row r="86" spans="1:33" x14ac:dyDescent="0.35">
      <c r="A86" s="279" t="s">
        <v>335</v>
      </c>
      <c r="B86" s="279" t="s">
        <v>397</v>
      </c>
      <c r="C86" s="280">
        <v>556976992.90505946</v>
      </c>
      <c r="D86" s="280">
        <v>43107284.374366201</v>
      </c>
      <c r="E86" s="280">
        <v>757326.91767519468</v>
      </c>
      <c r="F86" s="280">
        <v>6302962.3008155571</v>
      </c>
      <c r="G86" s="280">
        <v>2853978.0544898757</v>
      </c>
      <c r="H86" s="280">
        <v>183867.9450079627</v>
      </c>
      <c r="I86" s="280">
        <v>375616927.84584206</v>
      </c>
      <c r="J86" s="280">
        <v>71713804.271657705</v>
      </c>
      <c r="K86" s="280">
        <v>23346914.392413709</v>
      </c>
      <c r="L86" s="280">
        <v>324273.50088112254</v>
      </c>
      <c r="M86" s="280">
        <v>8086501.7372489469</v>
      </c>
      <c r="N86" s="280">
        <v>75005.373265172122</v>
      </c>
      <c r="O86" s="280">
        <v>48716895.800500043</v>
      </c>
      <c r="P86" s="280">
        <v>897633.98594363127</v>
      </c>
      <c r="Q86" s="280">
        <v>6351694.1150310962</v>
      </c>
      <c r="R86" s="280">
        <v>1961294.8437994295</v>
      </c>
      <c r="S86" s="280">
        <v>5858537.0733946096</v>
      </c>
      <c r="T86" s="280">
        <v>24925210.669291042</v>
      </c>
      <c r="U86" s="280">
        <v>40326986.98808755</v>
      </c>
      <c r="V86" s="280">
        <v>3757847.2874948666</v>
      </c>
      <c r="W86" s="280">
        <v>470053.66002859967</v>
      </c>
      <c r="X86" s="280">
        <v>1761992.0387807691</v>
      </c>
      <c r="Y86" s="280">
        <v>2236606.4995018514</v>
      </c>
      <c r="Z86" s="280">
        <v>41254604.135109007</v>
      </c>
      <c r="AA86" s="280">
        <v>7339200.2654786399</v>
      </c>
      <c r="AB86" s="280">
        <v>3859969.8604603</v>
      </c>
      <c r="AC86" s="280">
        <v>1640033.738996675</v>
      </c>
      <c r="AD86" s="280">
        <v>15902234.818436245</v>
      </c>
      <c r="AE86" s="280">
        <v>176689.67897870883</v>
      </c>
      <c r="AF86" s="280">
        <v>9155237.6204571575</v>
      </c>
      <c r="AG86" s="280">
        <v>1305938562.698493</v>
      </c>
    </row>
    <row r="87" spans="1:33" x14ac:dyDescent="0.35">
      <c r="A87" s="279" t="s">
        <v>335</v>
      </c>
      <c r="B87" s="279" t="s">
        <v>398</v>
      </c>
      <c r="C87" s="280">
        <v>577851119.6822567</v>
      </c>
      <c r="D87" s="280">
        <v>60025577.670231991</v>
      </c>
      <c r="E87" s="280">
        <v>1025440.4249829198</v>
      </c>
      <c r="F87" s="280">
        <v>7325454.1022771848</v>
      </c>
      <c r="G87" s="280">
        <v>4162553.4370713905</v>
      </c>
      <c r="H87" s="280">
        <v>183810.8335854277</v>
      </c>
      <c r="I87" s="280">
        <v>373299519.05520356</v>
      </c>
      <c r="J87" s="280">
        <v>70331167.215215564</v>
      </c>
      <c r="K87" s="280">
        <v>24806622.139188219</v>
      </c>
      <c r="L87" s="280">
        <v>321064.82167877164</v>
      </c>
      <c r="M87" s="280">
        <v>6557209.7302284203</v>
      </c>
      <c r="N87" s="280">
        <v>65379.90361686574</v>
      </c>
      <c r="O87" s="280">
        <v>52285536.010967232</v>
      </c>
      <c r="P87" s="280">
        <v>1392226.355402108</v>
      </c>
      <c r="Q87" s="280">
        <v>6316554.847970915</v>
      </c>
      <c r="R87" s="280">
        <v>599250.28395023081</v>
      </c>
      <c r="S87" s="280">
        <v>5855707.2868746184</v>
      </c>
      <c r="T87" s="280">
        <v>25826729.10293537</v>
      </c>
      <c r="U87" s="280">
        <v>39011742.296600163</v>
      </c>
      <c r="V87" s="280">
        <v>3796525.3901022011</v>
      </c>
      <c r="W87" s="280">
        <v>236944.59107242126</v>
      </c>
      <c r="X87" s="280">
        <v>1564712.0771621712</v>
      </c>
      <c r="Y87" s="280">
        <v>1203406.4330165745</v>
      </c>
      <c r="Z87" s="280">
        <v>34946577.435012572</v>
      </c>
      <c r="AA87" s="280">
        <v>8046163.486458174</v>
      </c>
      <c r="AB87" s="280">
        <v>3054147.8591099395</v>
      </c>
      <c r="AC87" s="280">
        <v>1393685.9392002446</v>
      </c>
      <c r="AD87" s="280">
        <v>17357411.926538922</v>
      </c>
      <c r="AE87" s="280">
        <v>176600.93624671351</v>
      </c>
      <c r="AF87" s="280">
        <v>9157282.9170326777</v>
      </c>
      <c r="AG87" s="280">
        <v>1338176124.1911898</v>
      </c>
    </row>
    <row r="88" spans="1:33" x14ac:dyDescent="0.35">
      <c r="A88" s="279" t="s">
        <v>335</v>
      </c>
      <c r="B88" s="279" t="s">
        <v>399</v>
      </c>
      <c r="C88" s="280">
        <v>722811357.27387166</v>
      </c>
      <c r="D88" s="280">
        <v>103577868.62263685</v>
      </c>
      <c r="E88" s="280">
        <v>1596358.7248085246</v>
      </c>
      <c r="F88" s="280">
        <v>10205755.280962532</v>
      </c>
      <c r="G88" s="280">
        <v>7538994.7728430089</v>
      </c>
      <c r="H88" s="280">
        <v>183696.67667347164</v>
      </c>
      <c r="I88" s="280">
        <v>396301092.55253249</v>
      </c>
      <c r="J88" s="280">
        <v>74636532.66220592</v>
      </c>
      <c r="K88" s="280">
        <v>27645526.446087588</v>
      </c>
      <c r="L88" s="280">
        <v>310986.19459962926</v>
      </c>
      <c r="M88" s="280">
        <v>5347035.5875832783</v>
      </c>
      <c r="N88" s="280">
        <v>87983.854608381531</v>
      </c>
      <c r="O88" s="280">
        <v>59553467.713813692</v>
      </c>
      <c r="P88" s="280">
        <v>1510981.8636263369</v>
      </c>
      <c r="Q88" s="280">
        <v>6224828.4249045467</v>
      </c>
      <c r="R88" s="280">
        <v>340239.80325179675</v>
      </c>
      <c r="S88" s="280">
        <v>5850050.7914607357</v>
      </c>
      <c r="T88" s="280">
        <v>24048281.489119053</v>
      </c>
      <c r="U88" s="280">
        <v>39135887.995961875</v>
      </c>
      <c r="V88" s="280">
        <v>3549469.6106899884</v>
      </c>
      <c r="W88" s="280">
        <v>232522.61901033603</v>
      </c>
      <c r="X88" s="280">
        <v>1255744.3379308551</v>
      </c>
      <c r="Y88" s="280">
        <v>1183417.0845063282</v>
      </c>
      <c r="Z88" s="280">
        <v>42614492.766441718</v>
      </c>
      <c r="AA88" s="280">
        <v>9489221.4761158172</v>
      </c>
      <c r="AB88" s="280">
        <v>3425609.0936127673</v>
      </c>
      <c r="AC88" s="280">
        <v>2166042.3077006927</v>
      </c>
      <c r="AD88" s="280">
        <v>15387796.287428817</v>
      </c>
      <c r="AE88" s="280">
        <v>176423.59243027124</v>
      </c>
      <c r="AF88" s="280">
        <v>9161375.5590439681</v>
      </c>
      <c r="AG88" s="280">
        <v>1575549041.4664629</v>
      </c>
    </row>
    <row r="89" spans="1:33" x14ac:dyDescent="0.35">
      <c r="A89" s="279" t="s">
        <v>335</v>
      </c>
      <c r="B89" s="279" t="s">
        <v>400</v>
      </c>
      <c r="C89" s="280">
        <v>735208341.37464678</v>
      </c>
      <c r="D89" s="280">
        <v>122447785.83812292</v>
      </c>
      <c r="E89" s="280">
        <v>1763763.4489311767</v>
      </c>
      <c r="F89" s="280">
        <v>10807473.751232503</v>
      </c>
      <c r="G89" s="280">
        <v>8561799.7310511377</v>
      </c>
      <c r="H89" s="280">
        <v>183639.66456219755</v>
      </c>
      <c r="I89" s="280">
        <v>404236655.20895463</v>
      </c>
      <c r="J89" s="280">
        <v>69432285.772021845</v>
      </c>
      <c r="K89" s="280">
        <v>27637936.793155883</v>
      </c>
      <c r="L89" s="280">
        <v>321266.39251178328</v>
      </c>
      <c r="M89" s="280">
        <v>8381967.7631130759</v>
      </c>
      <c r="N89" s="280">
        <v>112625.08055525478</v>
      </c>
      <c r="O89" s="280">
        <v>55852351.872454353</v>
      </c>
      <c r="P89" s="280">
        <v>996827.40996978257</v>
      </c>
      <c r="Q89" s="280">
        <v>6649631.9715926591</v>
      </c>
      <c r="R89" s="280">
        <v>196683.35761532333</v>
      </c>
      <c r="S89" s="280">
        <v>5847225.6458092099</v>
      </c>
      <c r="T89" s="280">
        <v>24981325.257349741</v>
      </c>
      <c r="U89" s="280">
        <v>36261133.773576893</v>
      </c>
      <c r="V89" s="280">
        <v>3674281.3694219519</v>
      </c>
      <c r="W89" s="280">
        <v>268924.66227807727</v>
      </c>
      <c r="X89" s="280">
        <v>1470617.2164162656</v>
      </c>
      <c r="Y89" s="280">
        <v>1166637.0369971921</v>
      </c>
      <c r="Z89" s="280">
        <v>36925512.059018046</v>
      </c>
      <c r="AA89" s="280">
        <v>15987465.241338717</v>
      </c>
      <c r="AB89" s="280">
        <v>3725636.8193602418</v>
      </c>
      <c r="AC89" s="280">
        <v>1802928.8301701737</v>
      </c>
      <c r="AD89" s="280">
        <v>15606082.4877038</v>
      </c>
      <c r="AE89" s="280">
        <v>176335.06298639139</v>
      </c>
      <c r="AF89" s="280">
        <v>9163423.9426723514</v>
      </c>
      <c r="AG89" s="280">
        <v>1609848564.8355904</v>
      </c>
    </row>
    <row r="90" spans="1:33" x14ac:dyDescent="0.35">
      <c r="A90" s="279" t="s">
        <v>335</v>
      </c>
      <c r="B90" s="279" t="s">
        <v>401</v>
      </c>
      <c r="C90" s="280">
        <v>609914157.96481979</v>
      </c>
      <c r="D90" s="280">
        <v>111951420.08393009</v>
      </c>
      <c r="E90" s="280">
        <v>1433213.3652990842</v>
      </c>
      <c r="F90" s="280">
        <v>9340850.0942488406</v>
      </c>
      <c r="G90" s="280">
        <v>7841668.1693357769</v>
      </c>
      <c r="H90" s="280">
        <v>183582.68519387941</v>
      </c>
      <c r="I90" s="280">
        <v>382152792.03154933</v>
      </c>
      <c r="J90" s="280">
        <v>58351212.441091411</v>
      </c>
      <c r="K90" s="280">
        <v>23817214.89616501</v>
      </c>
      <c r="L90" s="280">
        <v>256225.38282717211</v>
      </c>
      <c r="M90" s="280">
        <v>7117442.017907979</v>
      </c>
      <c r="N90" s="280">
        <v>86628.398844366093</v>
      </c>
      <c r="O90" s="280">
        <v>48240501.345442109</v>
      </c>
      <c r="P90" s="280">
        <v>2197198.0115692052</v>
      </c>
      <c r="Q90" s="280">
        <v>5810272.6510993401</v>
      </c>
      <c r="R90" s="280">
        <v>178117.17790528605</v>
      </c>
      <c r="S90" s="280">
        <v>5844402.039175502</v>
      </c>
      <c r="T90" s="280">
        <v>25664385.801616583</v>
      </c>
      <c r="U90" s="280">
        <v>33144676.286081899</v>
      </c>
      <c r="V90" s="280">
        <v>3605133.7159757316</v>
      </c>
      <c r="W90" s="280">
        <v>551961.22188922006</v>
      </c>
      <c r="X90" s="280">
        <v>1577911.6645479798</v>
      </c>
      <c r="Y90" s="280">
        <v>1076502.8893325343</v>
      </c>
      <c r="Z90" s="280">
        <v>33421004.659203772</v>
      </c>
      <c r="AA90" s="280">
        <v>13584502.044221586</v>
      </c>
      <c r="AB90" s="280">
        <v>3529227.5130806225</v>
      </c>
      <c r="AC90" s="280">
        <v>1530070.0673877727</v>
      </c>
      <c r="AD90" s="280">
        <v>15549317.35464138</v>
      </c>
      <c r="AE90" s="280">
        <v>176246.60428569457</v>
      </c>
      <c r="AF90" s="280">
        <v>9165473.3311477564</v>
      </c>
      <c r="AG90" s="280">
        <v>1417293311.909817</v>
      </c>
    </row>
    <row r="91" spans="1:33" x14ac:dyDescent="0.35">
      <c r="A91" s="279" t="s">
        <v>335</v>
      </c>
      <c r="B91" s="279" t="s">
        <v>402</v>
      </c>
      <c r="C91" s="280">
        <v>572705041.23940516</v>
      </c>
      <c r="D91" s="280">
        <v>103634565.97916041</v>
      </c>
      <c r="E91" s="280">
        <v>1510141.4380119173</v>
      </c>
      <c r="F91" s="280">
        <v>8789269.2955999915</v>
      </c>
      <c r="G91" s="280">
        <v>7107504.7262795521</v>
      </c>
      <c r="H91" s="280">
        <v>183525.73849316852</v>
      </c>
      <c r="I91" s="280">
        <v>388078525.01428998</v>
      </c>
      <c r="J91" s="280">
        <v>54824175.70943848</v>
      </c>
      <c r="K91" s="280">
        <v>20681748.6780653</v>
      </c>
      <c r="L91" s="280">
        <v>228114.30174516354</v>
      </c>
      <c r="M91" s="280">
        <v>5865517.1274725301</v>
      </c>
      <c r="N91" s="280">
        <v>70614.792645170659</v>
      </c>
      <c r="O91" s="280">
        <v>40145162.263461277</v>
      </c>
      <c r="P91" s="280">
        <v>1017945.2563434137</v>
      </c>
      <c r="Q91" s="280">
        <v>4541657.7608711626</v>
      </c>
      <c r="R91" s="280">
        <v>120960.35428903154</v>
      </c>
      <c r="S91" s="280">
        <v>5841579.9694559723</v>
      </c>
      <c r="T91" s="280">
        <v>30577617.146760434</v>
      </c>
      <c r="U91" s="280">
        <v>40712657.377802953</v>
      </c>
      <c r="V91" s="280">
        <v>3800032.53850332</v>
      </c>
      <c r="W91" s="280">
        <v>548248.67880069744</v>
      </c>
      <c r="X91" s="280">
        <v>1858489.8522075345</v>
      </c>
      <c r="Y91" s="280">
        <v>1271147.3458401696</v>
      </c>
      <c r="Z91" s="280">
        <v>39056662.430576809</v>
      </c>
      <c r="AA91" s="280">
        <v>14824247.965767002</v>
      </c>
      <c r="AB91" s="280">
        <v>4199264.426467374</v>
      </c>
      <c r="AC91" s="280">
        <v>1636323.9970802199</v>
      </c>
      <c r="AD91" s="280">
        <v>8999746.1503194962</v>
      </c>
      <c r="AE91" s="280">
        <v>176158.21621834912</v>
      </c>
      <c r="AF91" s="280">
        <v>9167523.7215011641</v>
      </c>
      <c r="AG91" s="280">
        <v>1372174169.4928732</v>
      </c>
    </row>
    <row r="92" spans="1:33" x14ac:dyDescent="0.35">
      <c r="A92" s="279" t="s">
        <v>335</v>
      </c>
      <c r="B92" s="279" t="s">
        <v>403</v>
      </c>
      <c r="C92" s="280">
        <v>505065617.34946704</v>
      </c>
      <c r="D92" s="280">
        <v>79391416.651021078</v>
      </c>
      <c r="E92" s="280">
        <v>1138712.3779466585</v>
      </c>
      <c r="F92" s="280">
        <v>7300552.8137051947</v>
      </c>
      <c r="G92" s="280">
        <v>5637462.3499013958</v>
      </c>
      <c r="H92" s="280">
        <v>183468.82439897556</v>
      </c>
      <c r="I92" s="280">
        <v>364655598.47083127</v>
      </c>
      <c r="J92" s="280">
        <v>62408269.261229947</v>
      </c>
      <c r="K92" s="280">
        <v>22938831.867516991</v>
      </c>
      <c r="L92" s="280">
        <v>299531.80197988433</v>
      </c>
      <c r="M92" s="280">
        <v>7554613.5003201347</v>
      </c>
      <c r="N92" s="280">
        <v>77233.982948061399</v>
      </c>
      <c r="O92" s="280">
        <v>42911880.014559738</v>
      </c>
      <c r="P92" s="280">
        <v>757079.82186375221</v>
      </c>
      <c r="Q92" s="280">
        <v>5604609.7529066997</v>
      </c>
      <c r="R92" s="280">
        <v>463556.42986987066</v>
      </c>
      <c r="S92" s="280">
        <v>5838759.4348040959</v>
      </c>
      <c r="T92" s="280">
        <v>29156782.751007877</v>
      </c>
      <c r="U92" s="280">
        <v>38829816.439331748</v>
      </c>
      <c r="V92" s="280">
        <v>3978499.5724228052</v>
      </c>
      <c r="W92" s="280">
        <v>543297.19766291371</v>
      </c>
      <c r="X92" s="280">
        <v>828814.07367521327</v>
      </c>
      <c r="Y92" s="280">
        <v>787985.2721246545</v>
      </c>
      <c r="Z92" s="280">
        <v>37880100.526120991</v>
      </c>
      <c r="AA92" s="280">
        <v>7946432.6876535937</v>
      </c>
      <c r="AB92" s="280">
        <v>3476485.7994166054</v>
      </c>
      <c r="AC92" s="280">
        <v>1750951.0269477777</v>
      </c>
      <c r="AD92" s="280">
        <v>17919350.10812445</v>
      </c>
      <c r="AE92" s="280">
        <v>176069.89868372894</v>
      </c>
      <c r="AF92" s="280">
        <v>9169575.112098882</v>
      </c>
      <c r="AG92" s="280">
        <v>1264671355.170542</v>
      </c>
    </row>
    <row r="93" spans="1:33" x14ac:dyDescent="0.35">
      <c r="A93" s="279" t="s">
        <v>335</v>
      </c>
      <c r="B93" s="279" t="s">
        <v>404</v>
      </c>
      <c r="C93" s="280">
        <v>572890087.8485353</v>
      </c>
      <c r="D93" s="280">
        <v>71727419.896066397</v>
      </c>
      <c r="E93" s="280">
        <v>1034420.844508</v>
      </c>
      <c r="F93" s="280">
        <v>7779194.7244947841</v>
      </c>
      <c r="G93" s="280">
        <v>4922611.5099559817</v>
      </c>
      <c r="H93" s="280">
        <v>183411.94286795403</v>
      </c>
      <c r="I93" s="280">
        <v>378784463.77315569</v>
      </c>
      <c r="J93" s="280">
        <v>64536328.714601912</v>
      </c>
      <c r="K93" s="280">
        <v>22741846.569744263</v>
      </c>
      <c r="L93" s="280">
        <v>312935.70530053787</v>
      </c>
      <c r="M93" s="280">
        <v>7458455.8983980538</v>
      </c>
      <c r="N93" s="280">
        <v>71773.194708860508</v>
      </c>
      <c r="O93" s="280">
        <v>42662622.575194076</v>
      </c>
      <c r="P93" s="280">
        <v>742649.35004118585</v>
      </c>
      <c r="Q93" s="280">
        <v>5365253.7527481988</v>
      </c>
      <c r="R93" s="280">
        <v>2679259.6094815927</v>
      </c>
      <c r="S93" s="280">
        <v>5835940.4337739972</v>
      </c>
      <c r="T93" s="280">
        <v>28637585.217464574</v>
      </c>
      <c r="U93" s="280">
        <v>39066378.197617039</v>
      </c>
      <c r="V93" s="280">
        <v>3964165.9715395607</v>
      </c>
      <c r="W93" s="280">
        <v>631463.59875919495</v>
      </c>
      <c r="X93" s="280">
        <v>1978742.6936605962</v>
      </c>
      <c r="Y93" s="280">
        <v>912843.71284885146</v>
      </c>
      <c r="Z93" s="280">
        <v>39063386.086498991</v>
      </c>
      <c r="AA93" s="280">
        <v>5208900.6163520264</v>
      </c>
      <c r="AB93" s="280">
        <v>3598625.9316303255</v>
      </c>
      <c r="AC93" s="280">
        <v>1656240.8047571708</v>
      </c>
      <c r="AD93" s="280">
        <v>17002249.346956007</v>
      </c>
      <c r="AE93" s="280">
        <v>175981.65159522445</v>
      </c>
      <c r="AF93" s="280">
        <v>9171627.502808569</v>
      </c>
      <c r="AG93" s="280">
        <v>1340796867.6760652</v>
      </c>
    </row>
    <row r="94" spans="1:33" x14ac:dyDescent="0.35">
      <c r="A94" s="279" t="s">
        <v>335</v>
      </c>
      <c r="B94" s="279" t="s">
        <v>405</v>
      </c>
      <c r="C94" s="280">
        <v>821246734.5938772</v>
      </c>
      <c r="D94" s="280">
        <v>61000475.420916036</v>
      </c>
      <c r="E94" s="280">
        <v>1107247.1287230593</v>
      </c>
      <c r="F94" s="280">
        <v>9353082.1120125707</v>
      </c>
      <c r="G94" s="280">
        <v>4279145.6356345834</v>
      </c>
      <c r="H94" s="280">
        <v>183355.09387553966</v>
      </c>
      <c r="I94" s="280">
        <v>408757328.4845261</v>
      </c>
      <c r="J94" s="280">
        <v>72331334.609372124</v>
      </c>
      <c r="K94" s="280">
        <v>25458014.804023292</v>
      </c>
      <c r="L94" s="280">
        <v>355345.7582894747</v>
      </c>
      <c r="M94" s="280">
        <v>7634700.2326417556</v>
      </c>
      <c r="N94" s="280">
        <v>87418.559018908738</v>
      </c>
      <c r="O94" s="280">
        <v>47203111.944520913</v>
      </c>
      <c r="P94" s="280">
        <v>1323347.0713304472</v>
      </c>
      <c r="Q94" s="280">
        <v>6287442.1513346378</v>
      </c>
      <c r="R94" s="280">
        <v>672788.43989074253</v>
      </c>
      <c r="S94" s="280">
        <v>5833122.9654102707</v>
      </c>
      <c r="T94" s="280">
        <v>25534055.3122904</v>
      </c>
      <c r="U94" s="280">
        <v>37660064.446359754</v>
      </c>
      <c r="V94" s="280">
        <v>4211950.0414575869</v>
      </c>
      <c r="W94" s="280">
        <v>277521.55342277442</v>
      </c>
      <c r="X94" s="280">
        <v>1719777.721557908</v>
      </c>
      <c r="Y94" s="280">
        <v>965494.63640775532</v>
      </c>
      <c r="Z94" s="280">
        <v>40160685.496716827</v>
      </c>
      <c r="AA94" s="280">
        <v>10325879.51065593</v>
      </c>
      <c r="AB94" s="280">
        <v>3196503.3872472406</v>
      </c>
      <c r="AC94" s="280">
        <v>1583200.2421321254</v>
      </c>
      <c r="AD94" s="280">
        <v>14648336.637981595</v>
      </c>
      <c r="AE94" s="280">
        <v>175893.47488284949</v>
      </c>
      <c r="AF94" s="280">
        <v>9173680.8949336335</v>
      </c>
      <c r="AG94" s="280">
        <v>1622747038.3614445</v>
      </c>
    </row>
    <row r="95" spans="1:33" x14ac:dyDescent="0.35">
      <c r="A95" s="279" t="s">
        <v>335</v>
      </c>
      <c r="B95" s="279" t="s">
        <v>406</v>
      </c>
      <c r="C95" s="280">
        <v>1119618683.2770102</v>
      </c>
      <c r="D95" s="280">
        <v>71804566.973806933</v>
      </c>
      <c r="E95" s="280">
        <v>1277154.2558500834</v>
      </c>
      <c r="F95" s="280">
        <v>11785774.738399418</v>
      </c>
      <c r="G95" s="280">
        <v>4593473.9827886876</v>
      </c>
      <c r="H95" s="280">
        <v>183298.27741365705</v>
      </c>
      <c r="I95" s="280">
        <v>456286075.99812561</v>
      </c>
      <c r="J95" s="280">
        <v>83689399.852857813</v>
      </c>
      <c r="K95" s="280">
        <v>27924343.207331836</v>
      </c>
      <c r="L95" s="280">
        <v>442844.39928088331</v>
      </c>
      <c r="M95" s="280">
        <v>9403590.4258447383</v>
      </c>
      <c r="N95" s="280">
        <v>104006.08379165987</v>
      </c>
      <c r="O95" s="280">
        <v>58481353.593812175</v>
      </c>
      <c r="P95" s="280">
        <v>905895.3187913131</v>
      </c>
      <c r="Q95" s="280">
        <v>7471941.8878397048</v>
      </c>
      <c r="R95" s="280">
        <v>584947.77269848809</v>
      </c>
      <c r="S95" s="280">
        <v>5830307.0292405542</v>
      </c>
      <c r="T95" s="280">
        <v>26931889.798712168</v>
      </c>
      <c r="U95" s="280">
        <v>42210651.110780388</v>
      </c>
      <c r="V95" s="280">
        <v>3266715.3331346265</v>
      </c>
      <c r="W95" s="280">
        <v>-444776.42619363224</v>
      </c>
      <c r="X95" s="280">
        <v>1971143.9077708339</v>
      </c>
      <c r="Y95" s="280">
        <v>1150630.5572530944</v>
      </c>
      <c r="Z95" s="280">
        <v>40477606.590594158</v>
      </c>
      <c r="AA95" s="280">
        <v>7718591.7247085562</v>
      </c>
      <c r="AB95" s="280">
        <v>3012760.1384199886</v>
      </c>
      <c r="AC95" s="280">
        <v>1731066.3229099328</v>
      </c>
      <c r="AD95" s="280">
        <v>13279416.893994974</v>
      </c>
      <c r="AE95" s="280">
        <v>175805.36849256573</v>
      </c>
      <c r="AF95" s="280">
        <v>9175735.2909052689</v>
      </c>
      <c r="AG95" s="280">
        <v>2011044893.686367</v>
      </c>
    </row>
    <row r="96" spans="1:33" x14ac:dyDescent="0.35">
      <c r="A96" s="279" t="s">
        <v>335</v>
      </c>
      <c r="B96" s="279" t="s">
        <v>407</v>
      </c>
      <c r="C96" s="280">
        <v>1074894907.854876</v>
      </c>
      <c r="D96" s="280">
        <v>68502093.097867548</v>
      </c>
      <c r="E96" s="280">
        <v>1085358.2341576531</v>
      </c>
      <c r="F96" s="280">
        <v>11032461.081458116</v>
      </c>
      <c r="G96" s="280">
        <v>4264942.8020538474</v>
      </c>
      <c r="H96" s="280">
        <v>183241.49348440737</v>
      </c>
      <c r="I96" s="280">
        <v>467429662.30110681</v>
      </c>
      <c r="J96" s="280">
        <v>81458032.474575922</v>
      </c>
      <c r="K96" s="280">
        <v>28801258.239808179</v>
      </c>
      <c r="L96" s="280">
        <v>389241.11229499959</v>
      </c>
      <c r="M96" s="280">
        <v>9056955.1350601874</v>
      </c>
      <c r="N96" s="280">
        <v>125551.50021386558</v>
      </c>
      <c r="O96" s="280">
        <v>53374103.81873513</v>
      </c>
      <c r="P96" s="280">
        <v>635617.46294656338</v>
      </c>
      <c r="Q96" s="280">
        <v>8233396.6036508065</v>
      </c>
      <c r="R96" s="280">
        <v>823006.51486475707</v>
      </c>
      <c r="S96" s="280">
        <v>5827492.625136829</v>
      </c>
      <c r="T96" s="280">
        <v>28138211.277757633</v>
      </c>
      <c r="U96" s="280">
        <v>42995788.014202453</v>
      </c>
      <c r="V96" s="280">
        <v>4497297.5769482488</v>
      </c>
      <c r="W96" s="280">
        <v>1248223.0030110225</v>
      </c>
      <c r="X96" s="280">
        <v>2092272.8549706668</v>
      </c>
      <c r="Y96" s="280">
        <v>3398509.1850488284</v>
      </c>
      <c r="Z96" s="280">
        <v>44418602.508929476</v>
      </c>
      <c r="AA96" s="280">
        <v>8055409.3560123509</v>
      </c>
      <c r="AB96" s="280">
        <v>4550996.962572881</v>
      </c>
      <c r="AC96" s="280">
        <v>1806833.7299017601</v>
      </c>
      <c r="AD96" s="280">
        <v>15642425.076989012</v>
      </c>
      <c r="AE96" s="280">
        <v>175717.33238156608</v>
      </c>
      <c r="AF96" s="280">
        <v>9177790.693742644</v>
      </c>
      <c r="AG96" s="280">
        <v>1982315399.9247599</v>
      </c>
    </row>
    <row r="97" spans="1:33" x14ac:dyDescent="0.35">
      <c r="A97" s="279" t="s">
        <v>335</v>
      </c>
      <c r="B97" s="279" t="s">
        <v>408</v>
      </c>
      <c r="C97" s="280">
        <v>783463244.95929039</v>
      </c>
      <c r="D97" s="280">
        <v>51229932.224262536</v>
      </c>
      <c r="E97" s="280">
        <v>883186.61980124132</v>
      </c>
      <c r="F97" s="280">
        <v>8177535.5924367346</v>
      </c>
      <c r="G97" s="280">
        <v>3194896.827131799</v>
      </c>
      <c r="H97" s="280">
        <v>183184.74209022892</v>
      </c>
      <c r="I97" s="280">
        <v>342916751.11557418</v>
      </c>
      <c r="J97" s="280">
        <v>61783757.581868224</v>
      </c>
      <c r="K97" s="280">
        <v>21928435.221328892</v>
      </c>
      <c r="L97" s="280">
        <v>319789.86912066559</v>
      </c>
      <c r="M97" s="280">
        <v>6998914.9826150741</v>
      </c>
      <c r="N97" s="280">
        <v>92734.854633864219</v>
      </c>
      <c r="O97" s="280">
        <v>42558454.246756382</v>
      </c>
      <c r="P97" s="280">
        <v>517692.35426273564</v>
      </c>
      <c r="Q97" s="280">
        <v>6152930.0001006806</v>
      </c>
      <c r="R97" s="280">
        <v>577328.98668467102</v>
      </c>
      <c r="S97" s="280">
        <v>5824679.7530532293</v>
      </c>
      <c r="T97" s="280">
        <v>26598697.529985927</v>
      </c>
      <c r="U97" s="280">
        <v>38060769.94360555</v>
      </c>
      <c r="V97" s="280">
        <v>4099236.2187869158</v>
      </c>
      <c r="W97" s="280">
        <v>530314.10994867096</v>
      </c>
      <c r="X97" s="280">
        <v>1933406.9828273621</v>
      </c>
      <c r="Y97" s="280">
        <v>974022.77704381873</v>
      </c>
      <c r="Z97" s="280">
        <v>40326967.851452291</v>
      </c>
      <c r="AA97" s="280">
        <v>7047490.7224665675</v>
      </c>
      <c r="AB97" s="280">
        <v>4212132.232381165</v>
      </c>
      <c r="AC97" s="280">
        <v>1667755.4621131835</v>
      </c>
      <c r="AD97" s="280">
        <v>15002205.443451494</v>
      </c>
      <c r="AE97" s="280">
        <v>175629.36650992351</v>
      </c>
      <c r="AF97" s="280">
        <v>9179847.1063526049</v>
      </c>
      <c r="AG97" s="280">
        <v>1486611925.6779366</v>
      </c>
    </row>
    <row r="98" spans="1:33" x14ac:dyDescent="0.35">
      <c r="A98" s="279" t="s">
        <v>335</v>
      </c>
      <c r="B98" s="279" t="s">
        <v>409</v>
      </c>
      <c r="C98" s="280">
        <v>558468824.46710312</v>
      </c>
      <c r="D98" s="280">
        <v>43254155.990922354</v>
      </c>
      <c r="E98" s="280">
        <v>760663.23397142929</v>
      </c>
      <c r="F98" s="280">
        <v>6318978.330382321</v>
      </c>
      <c r="G98" s="280">
        <v>2860536.3589224564</v>
      </c>
      <c r="H98" s="280">
        <v>183128.02322377954</v>
      </c>
      <c r="I98" s="280">
        <v>359344802.13929039</v>
      </c>
      <c r="J98" s="280">
        <v>68557403.818969071</v>
      </c>
      <c r="K98" s="280">
        <v>22290804.754477259</v>
      </c>
      <c r="L98" s="280">
        <v>310011.78773541434</v>
      </c>
      <c r="M98" s="280">
        <v>7730853.2867417485</v>
      </c>
      <c r="N98" s="280">
        <v>71598.849620082823</v>
      </c>
      <c r="O98" s="280">
        <v>46602732.758297592</v>
      </c>
      <c r="P98" s="280">
        <v>858081.40847097838</v>
      </c>
      <c r="Q98" s="280">
        <v>6072355.0708395271</v>
      </c>
      <c r="R98" s="280">
        <v>1860077.9686936368</v>
      </c>
      <c r="S98" s="280">
        <v>5821868.4127349425</v>
      </c>
      <c r="T98" s="280">
        <v>24271576.867725328</v>
      </c>
      <c r="U98" s="280">
        <v>39095476.3169154</v>
      </c>
      <c r="V98" s="280">
        <v>3624900.040114264</v>
      </c>
      <c r="W98" s="280">
        <v>452652.38146421488</v>
      </c>
      <c r="X98" s="280">
        <v>1705915.7384838611</v>
      </c>
      <c r="Y98" s="280">
        <v>2191649.8887664541</v>
      </c>
      <c r="Z98" s="280">
        <v>39915530.95877336</v>
      </c>
      <c r="AA98" s="280">
        <v>7088723.7348445551</v>
      </c>
      <c r="AB98" s="280">
        <v>3729858.7870073575</v>
      </c>
      <c r="AC98" s="280">
        <v>1583640.5772977376</v>
      </c>
      <c r="AD98" s="280">
        <v>15406762.80186145</v>
      </c>
      <c r="AE98" s="280">
        <v>175541.47083149769</v>
      </c>
      <c r="AF98" s="280">
        <v>9181904.5308624841</v>
      </c>
      <c r="AG98" s="280">
        <v>1279791010.7553444</v>
      </c>
    </row>
    <row r="99" spans="1:33" x14ac:dyDescent="0.35">
      <c r="A99" s="279" t="s">
        <v>335</v>
      </c>
      <c r="B99" s="279" t="s">
        <v>410</v>
      </c>
      <c r="C99" s="280">
        <v>579403526.43110287</v>
      </c>
      <c r="D99" s="280">
        <v>60213707.550185606</v>
      </c>
      <c r="E99" s="280">
        <v>1028279.357654738</v>
      </c>
      <c r="F99" s="280">
        <v>7346995.3178557381</v>
      </c>
      <c r="G99" s="280">
        <v>4172391.6119800173</v>
      </c>
      <c r="H99" s="280">
        <v>183071.3368645953</v>
      </c>
      <c r="I99" s="280">
        <v>357153370.15395927</v>
      </c>
      <c r="J99" s="280">
        <v>67188335.618323848</v>
      </c>
      <c r="K99" s="280">
        <v>23675608.670779821</v>
      </c>
      <c r="L99" s="280">
        <v>306952.08287079225</v>
      </c>
      <c r="M99" s="280">
        <v>6268980.7434836756</v>
      </c>
      <c r="N99" s="280">
        <v>62505.134770463555</v>
      </c>
      <c r="O99" s="280">
        <v>50020569.782007061</v>
      </c>
      <c r="P99" s="280">
        <v>1347351.9549670725</v>
      </c>
      <c r="Q99" s="280">
        <v>6038063.9276451003</v>
      </c>
      <c r="R99" s="280">
        <v>568845.01123898407</v>
      </c>
      <c r="S99" s="280">
        <v>5819058.603615432</v>
      </c>
      <c r="T99" s="280">
        <v>25155912.505602699</v>
      </c>
      <c r="U99" s="280">
        <v>37860425.131545104</v>
      </c>
      <c r="V99" s="280">
        <v>3668788.8784254952</v>
      </c>
      <c r="W99" s="280">
        <v>226344.97453813112</v>
      </c>
      <c r="X99" s="280">
        <v>1515271.0485883604</v>
      </c>
      <c r="Y99" s="280">
        <v>1171346.9949717345</v>
      </c>
      <c r="Z99" s="280">
        <v>33807283.128880121</v>
      </c>
      <c r="AA99" s="280">
        <v>7779077.4135348052</v>
      </c>
      <c r="AB99" s="280">
        <v>2950691.0211958475</v>
      </c>
      <c r="AC99" s="280">
        <v>1334923.1986062143</v>
      </c>
      <c r="AD99" s="280">
        <v>16775914.639769929</v>
      </c>
      <c r="AE99" s="280">
        <v>175453.64529045107</v>
      </c>
      <c r="AF99" s="280">
        <v>9183962.9683763478</v>
      </c>
      <c r="AG99" s="280">
        <v>1312403008.8386302</v>
      </c>
    </row>
    <row r="100" spans="1:33" x14ac:dyDescent="0.35">
      <c r="A100" s="279" t="s">
        <v>335</v>
      </c>
      <c r="B100" s="279" t="s">
        <v>411</v>
      </c>
      <c r="C100" s="280">
        <v>724714659.95122564</v>
      </c>
      <c r="D100" s="280">
        <v>103933957.24291517</v>
      </c>
      <c r="E100" s="280">
        <v>1601173.9864730998</v>
      </c>
      <c r="F100" s="280">
        <v>10231867.166955991</v>
      </c>
      <c r="G100" s="280">
        <v>7556092.8724932726</v>
      </c>
      <c r="H100" s="280">
        <v>182958.02935498633</v>
      </c>
      <c r="I100" s="280">
        <v>379152463.32786804</v>
      </c>
      <c r="J100" s="280">
        <v>71315214.083273679</v>
      </c>
      <c r="K100" s="280">
        <v>26403709.497726649</v>
      </c>
      <c r="L100" s="280">
        <v>297465.82412758307</v>
      </c>
      <c r="M100" s="280">
        <v>5114568.9915518556</v>
      </c>
      <c r="N100" s="280">
        <v>83916.576017518193</v>
      </c>
      <c r="O100" s="280">
        <v>56936403.202238418</v>
      </c>
      <c r="P100" s="280">
        <v>1477469.1265710902</v>
      </c>
      <c r="Q100" s="280">
        <v>5952024.809358649</v>
      </c>
      <c r="R100" s="280">
        <v>328939.4196361794</v>
      </c>
      <c r="S100" s="280">
        <v>5813442.0523453047</v>
      </c>
      <c r="T100" s="280">
        <v>23430065.972603716</v>
      </c>
      <c r="U100" s="280">
        <v>37912092.863141045</v>
      </c>
      <c r="V100" s="280">
        <v>3429648.5994430059</v>
      </c>
      <c r="W100" s="280">
        <v>222034.63803971675</v>
      </c>
      <c r="X100" s="280">
        <v>1215344.2479925242</v>
      </c>
      <c r="Y100" s="280">
        <v>1151591.7882308366</v>
      </c>
      <c r="Z100" s="280">
        <v>41160073.951502576</v>
      </c>
      <c r="AA100" s="280">
        <v>9285262.0088397674</v>
      </c>
      <c r="AB100" s="280">
        <v>3313095.3436382362</v>
      </c>
      <c r="AC100" s="280">
        <v>2102432.7035887227</v>
      </c>
      <c r="AD100" s="280">
        <v>14889068.35431196</v>
      </c>
      <c r="AE100" s="280">
        <v>175278.13456586341</v>
      </c>
      <c r="AF100" s="280">
        <v>9188081.8905861378</v>
      </c>
      <c r="AG100" s="280">
        <v>1548570396.6566174</v>
      </c>
    </row>
    <row r="101" spans="1:33" x14ac:dyDescent="0.35">
      <c r="A101" s="279" t="s">
        <v>335</v>
      </c>
      <c r="B101" s="279" t="s">
        <v>412</v>
      </c>
      <c r="C101" s="280">
        <v>736748739.077667</v>
      </c>
      <c r="D101" s="280">
        <v>122724418.71788219</v>
      </c>
      <c r="E101" s="280">
        <v>1767177.9654977943</v>
      </c>
      <c r="F101" s="280">
        <v>10827069.386889679</v>
      </c>
      <c r="G101" s="280">
        <v>8569273.1464783773</v>
      </c>
      <c r="H101" s="280">
        <v>182901.4403094828</v>
      </c>
      <c r="I101" s="280">
        <v>386215238.31412727</v>
      </c>
      <c r="J101" s="280">
        <v>66223581.455455124</v>
      </c>
      <c r="K101" s="280">
        <v>26385365.101072945</v>
      </c>
      <c r="L101" s="280">
        <v>306610.25635195506</v>
      </c>
      <c r="M101" s="280">
        <v>7999583.3504049527</v>
      </c>
      <c r="N101" s="280">
        <v>107045.8613220402</v>
      </c>
      <c r="O101" s="280">
        <v>53298386.583763674</v>
      </c>
      <c r="P101" s="280">
        <v>951686.51235902542</v>
      </c>
      <c r="Q101" s="280">
        <v>6360356.2114163358</v>
      </c>
      <c r="R101" s="280">
        <v>188002.62434899932</v>
      </c>
      <c r="S101" s="280">
        <v>5810636.8320108904</v>
      </c>
      <c r="T101" s="280">
        <v>24328389.408955019</v>
      </c>
      <c r="U101" s="280">
        <v>35131081.743137591</v>
      </c>
      <c r="V101" s="280">
        <v>3550367.8642144823</v>
      </c>
      <c r="W101" s="280">
        <v>256421.16374754641</v>
      </c>
      <c r="X101" s="280">
        <v>1422955.3109579294</v>
      </c>
      <c r="Y101" s="280">
        <v>1134145.2513665075</v>
      </c>
      <c r="Z101" s="280">
        <v>35675104.120827012</v>
      </c>
      <c r="AA101" s="280">
        <v>15563198.90338606</v>
      </c>
      <c r="AB101" s="280">
        <v>3603297.6719806772</v>
      </c>
      <c r="AC101" s="280">
        <v>1743063.470067655</v>
      </c>
      <c r="AD101" s="280">
        <v>15095668.419254176</v>
      </c>
      <c r="AE101" s="280">
        <v>175190.51909177474</v>
      </c>
      <c r="AF101" s="280">
        <v>9190143.3629704192</v>
      </c>
      <c r="AG101" s="280">
        <v>1581535100.0473149</v>
      </c>
    </row>
    <row r="102" spans="1:33" x14ac:dyDescent="0.35">
      <c r="A102" s="279" t="s">
        <v>335</v>
      </c>
      <c r="B102" s="279" t="s">
        <v>413</v>
      </c>
      <c r="C102" s="280">
        <v>611279078.43792593</v>
      </c>
      <c r="D102" s="280">
        <v>112123834.35810061</v>
      </c>
      <c r="E102" s="280">
        <v>1435657.3315730602</v>
      </c>
      <c r="F102" s="280">
        <v>9357728.4112144969</v>
      </c>
      <c r="G102" s="280">
        <v>7841931.4373758323</v>
      </c>
      <c r="H102" s="280">
        <v>182844.88358633782</v>
      </c>
      <c r="I102" s="280">
        <v>364944015.62887657</v>
      </c>
      <c r="J102" s="280">
        <v>55707437.1041224</v>
      </c>
      <c r="K102" s="280">
        <v>22750434.790288877</v>
      </c>
      <c r="L102" s="280">
        <v>244938.49292797895</v>
      </c>
      <c r="M102" s="280">
        <v>6803914.2029287536</v>
      </c>
      <c r="N102" s="280">
        <v>82496.810971786428</v>
      </c>
      <c r="O102" s="280">
        <v>46096434.562628321</v>
      </c>
      <c r="P102" s="280">
        <v>2097934.7780439807</v>
      </c>
      <c r="Q102" s="280">
        <v>5559592.7710024677</v>
      </c>
      <c r="R102" s="280">
        <v>169685.35532718481</v>
      </c>
      <c r="S102" s="280">
        <v>5807833.1379058827</v>
      </c>
      <c r="T102" s="280">
        <v>24976106.38749557</v>
      </c>
      <c r="U102" s="280">
        <v>32095532.562543105</v>
      </c>
      <c r="V102" s="280">
        <v>3480009.4054153995</v>
      </c>
      <c r="W102" s="280">
        <v>534130.10733764479</v>
      </c>
      <c r="X102" s="280">
        <v>1524224.3155585169</v>
      </c>
      <c r="Y102" s="280">
        <v>1048777.5497764349</v>
      </c>
      <c r="Z102" s="280">
        <v>32291061.723847907</v>
      </c>
      <c r="AA102" s="280">
        <v>13263379.735593366</v>
      </c>
      <c r="AB102" s="280">
        <v>3406730.5818830044</v>
      </c>
      <c r="AC102" s="280">
        <v>1480038.8367330295</v>
      </c>
      <c r="AD102" s="280">
        <v>15033408.136090778</v>
      </c>
      <c r="AE102" s="280">
        <v>175102.97343823858</v>
      </c>
      <c r="AF102" s="280">
        <v>9192205.8446888626</v>
      </c>
      <c r="AG102" s="280">
        <v>1390986500.6552022</v>
      </c>
    </row>
    <row r="103" spans="1:33" x14ac:dyDescent="0.35">
      <c r="A103" s="279" t="s">
        <v>335</v>
      </c>
      <c r="B103" s="279" t="s">
        <v>414</v>
      </c>
      <c r="C103" s="280">
        <v>574040305.83609283</v>
      </c>
      <c r="D103" s="280">
        <v>103737522.46535841</v>
      </c>
      <c r="E103" s="280">
        <v>1512445.9729631869</v>
      </c>
      <c r="F103" s="280">
        <v>8805011.523124028</v>
      </c>
      <c r="G103" s="280">
        <v>7109963.9754259111</v>
      </c>
      <c r="H103" s="280">
        <v>182788.35915702235</v>
      </c>
      <c r="I103" s="280">
        <v>370618469.9530009</v>
      </c>
      <c r="J103" s="280">
        <v>52317814.471021213</v>
      </c>
      <c r="K103" s="280">
        <v>19747418.510704566</v>
      </c>
      <c r="L103" s="280">
        <v>218043.2346817592</v>
      </c>
      <c r="M103" s="280">
        <v>5606559.158154523</v>
      </c>
      <c r="N103" s="280">
        <v>67060.495267001243</v>
      </c>
      <c r="O103" s="280">
        <v>38383113.606946565</v>
      </c>
      <c r="P103" s="280">
        <v>970486.59711626929</v>
      </c>
      <c r="Q103" s="280">
        <v>4341962.5700530596</v>
      </c>
      <c r="R103" s="280">
        <v>115575.06312739426</v>
      </c>
      <c r="S103" s="280">
        <v>5805030.9691436291</v>
      </c>
      <c r="T103" s="280">
        <v>29725955.379091658</v>
      </c>
      <c r="U103" s="280">
        <v>39473134.162238419</v>
      </c>
      <c r="V103" s="280">
        <v>3671285.9311267855</v>
      </c>
      <c r="W103" s="280">
        <v>530368.88992214063</v>
      </c>
      <c r="X103" s="280">
        <v>1795016.7886801544</v>
      </c>
      <c r="Y103" s="280">
        <v>1238657.6093215544</v>
      </c>
      <c r="Z103" s="280">
        <v>37744237.318425931</v>
      </c>
      <c r="AA103" s="280">
        <v>14467781.541241109</v>
      </c>
      <c r="AB103" s="280">
        <v>4063301.8636777708</v>
      </c>
      <c r="AC103" s="280">
        <v>1579224.4312704974</v>
      </c>
      <c r="AD103" s="280">
        <v>8655996.8171546198</v>
      </c>
      <c r="AE103" s="280">
        <v>175015.49753800736</v>
      </c>
      <c r="AF103" s="280">
        <v>9194269.3363673519</v>
      </c>
      <c r="AG103" s="280">
        <v>1345893818.3273942</v>
      </c>
    </row>
    <row r="104" spans="1:33" x14ac:dyDescent="0.35">
      <c r="A104" s="279" t="s">
        <v>335</v>
      </c>
      <c r="B104" s="279" t="s">
        <v>415</v>
      </c>
      <c r="C104" s="280">
        <v>506130441.43187022</v>
      </c>
      <c r="D104" s="280">
        <v>79553834.133730859</v>
      </c>
      <c r="E104" s="280">
        <v>1141377.818952942</v>
      </c>
      <c r="F104" s="280">
        <v>7316703.1189569533</v>
      </c>
      <c r="G104" s="280">
        <v>5650083.7238665791</v>
      </c>
      <c r="H104" s="280">
        <v>182731.86699571108</v>
      </c>
      <c r="I104" s="280">
        <v>348235077.91228682</v>
      </c>
      <c r="J104" s="280">
        <v>59605603.86517974</v>
      </c>
      <c r="K104" s="280">
        <v>21914950.747615043</v>
      </c>
      <c r="L104" s="280">
        <v>286126.29450363753</v>
      </c>
      <c r="M104" s="280">
        <v>7216507.7396320011</v>
      </c>
      <c r="N104" s="280">
        <v>73876.109602391793</v>
      </c>
      <c r="O104" s="280">
        <v>40980716.143682942</v>
      </c>
      <c r="P104" s="280">
        <v>727562.53831603099</v>
      </c>
      <c r="Q104" s="280">
        <v>5353542.7142148735</v>
      </c>
      <c r="R104" s="280">
        <v>441447.29886501055</v>
      </c>
      <c r="S104" s="280">
        <v>5802230.3249169579</v>
      </c>
      <c r="T104" s="280">
        <v>28368055.565749768</v>
      </c>
      <c r="U104" s="280">
        <v>37643385.889342397</v>
      </c>
      <c r="V104" s="280">
        <v>3847235.1770771351</v>
      </c>
      <c r="W104" s="280">
        <v>525568.02509464859</v>
      </c>
      <c r="X104" s="280">
        <v>803073.16811380303</v>
      </c>
      <c r="Y104" s="280">
        <v>761035.05057136668</v>
      </c>
      <c r="Z104" s="280">
        <v>36673441.681322142</v>
      </c>
      <c r="AA104" s="280">
        <v>7683108.9811737034</v>
      </c>
      <c r="AB104" s="280">
        <v>3363070.7351182811</v>
      </c>
      <c r="AC104" s="280">
        <v>1694110.1815427965</v>
      </c>
      <c r="AD104" s="280">
        <v>17331824.421550591</v>
      </c>
      <c r="AE104" s="280">
        <v>174928.0913265961</v>
      </c>
      <c r="AF104" s="280">
        <v>9196333.8388206195</v>
      </c>
      <c r="AG104" s="280">
        <v>1238677984.5899928</v>
      </c>
    </row>
    <row r="105" spans="1:33" x14ac:dyDescent="0.35">
      <c r="A105" s="279" t="s">
        <v>335</v>
      </c>
      <c r="B105" s="279" t="s">
        <v>416</v>
      </c>
      <c r="C105" s="280">
        <v>574061515.08234406</v>
      </c>
      <c r="D105" s="280">
        <v>71905591.752771735</v>
      </c>
      <c r="E105" s="280">
        <v>1037296.2582484841</v>
      </c>
      <c r="F105" s="280">
        <v>7797327.1854145974</v>
      </c>
      <c r="G105" s="280">
        <v>4936368.132367136</v>
      </c>
      <c r="H105" s="280">
        <v>182675.4070780334</v>
      </c>
      <c r="I105" s="280">
        <v>361779888.21885633</v>
      </c>
      <c r="J105" s="280">
        <v>61625681.124885269</v>
      </c>
      <c r="K105" s="280">
        <v>21718495.803380288</v>
      </c>
      <c r="L105" s="280">
        <v>298886.91686782025</v>
      </c>
      <c r="M105" s="280">
        <v>7123619.485753106</v>
      </c>
      <c r="N105" s="280">
        <v>68711.818047865556</v>
      </c>
      <c r="O105" s="280">
        <v>40734725.685421959</v>
      </c>
      <c r="P105" s="280">
        <v>706441.38736647984</v>
      </c>
      <c r="Q105" s="280">
        <v>5122923.8726778077</v>
      </c>
      <c r="R105" s="280">
        <v>2552844.2183602005</v>
      </c>
      <c r="S105" s="280">
        <v>5799431.2044715844</v>
      </c>
      <c r="T105" s="280">
        <v>27887223.856066506</v>
      </c>
      <c r="U105" s="280">
        <v>37877216.034937784</v>
      </c>
      <c r="V105" s="280">
        <v>3831826.4997225641</v>
      </c>
      <c r="W105" s="280">
        <v>610532.59258573677</v>
      </c>
      <c r="X105" s="280">
        <v>1914566.1712301408</v>
      </c>
      <c r="Y105" s="280">
        <v>882767.3710397922</v>
      </c>
      <c r="Z105" s="280">
        <v>37801825.577598847</v>
      </c>
      <c r="AA105" s="280">
        <v>5047615.3195530977</v>
      </c>
      <c r="AB105" s="280">
        <v>3485488.7391653061</v>
      </c>
      <c r="AC105" s="280">
        <v>1602125.3983990161</v>
      </c>
      <c r="AD105" s="280">
        <v>16417161.819189686</v>
      </c>
      <c r="AE105" s="280">
        <v>174840.75474134876</v>
      </c>
      <c r="AF105" s="280">
        <v>9198399.352942558</v>
      </c>
      <c r="AG105" s="280">
        <v>1314184013.0414851</v>
      </c>
    </row>
    <row r="106" spans="1:33" x14ac:dyDescent="0.35">
      <c r="A106" s="279" t="s">
        <v>335</v>
      </c>
      <c r="B106" s="279" t="s">
        <v>417</v>
      </c>
      <c r="C106" s="280">
        <v>822960085.90715075</v>
      </c>
      <c r="D106" s="280">
        <v>61137805.791733362</v>
      </c>
      <c r="E106" s="280">
        <v>1109841.1932589798</v>
      </c>
      <c r="F106" s="280">
        <v>9374619.4998358618</v>
      </c>
      <c r="G106" s="280">
        <v>4290078.0523722544</v>
      </c>
      <c r="H106" s="280">
        <v>182618.97937963417</v>
      </c>
      <c r="I106" s="280">
        <v>390500140.27302092</v>
      </c>
      <c r="J106" s="280">
        <v>69032202.899425045</v>
      </c>
      <c r="K106" s="280">
        <v>24302024.853591405</v>
      </c>
      <c r="L106" s="280">
        <v>339187.19190367794</v>
      </c>
      <c r="M106" s="280">
        <v>7287529.0404523648</v>
      </c>
      <c r="N106" s="280">
        <v>83468.52858845325</v>
      </c>
      <c r="O106" s="280">
        <v>45038770.330492109</v>
      </c>
      <c r="P106" s="280">
        <v>1273004.4338018906</v>
      </c>
      <c r="Q106" s="280">
        <v>6000770.1937905923</v>
      </c>
      <c r="R106" s="280">
        <v>637019.48062189284</v>
      </c>
      <c r="S106" s="280">
        <v>5796633.6070698388</v>
      </c>
      <c r="T106" s="280">
        <v>24873406.709497303</v>
      </c>
      <c r="U106" s="280">
        <v>36528909.675459988</v>
      </c>
      <c r="V106" s="280">
        <v>4074191.9179948862</v>
      </c>
      <c r="W106" s="280">
        <v>267833.17784557323</v>
      </c>
      <c r="X106" s="280">
        <v>1665863.8765597574</v>
      </c>
      <c r="Y106" s="280">
        <v>933525.2371449247</v>
      </c>
      <c r="Z106" s="280">
        <v>38851818.529535227</v>
      </c>
      <c r="AA106" s="280">
        <v>9975316.791854497</v>
      </c>
      <c r="AB106" s="280">
        <v>3094950.0834997497</v>
      </c>
      <c r="AC106" s="280">
        <v>1531963.768078059</v>
      </c>
      <c r="AD106" s="280">
        <v>14167650.003118845</v>
      </c>
      <c r="AE106" s="280">
        <v>174753.48772021171</v>
      </c>
      <c r="AF106" s="280">
        <v>9200465.8795928434</v>
      </c>
      <c r="AG106" s="280">
        <v>1594686449.3943908</v>
      </c>
    </row>
    <row r="107" spans="1:33" x14ac:dyDescent="0.35">
      <c r="A107" s="279" t="s">
        <v>335</v>
      </c>
      <c r="B107" s="279" t="s">
        <v>418</v>
      </c>
      <c r="C107" s="280">
        <v>1121974029.4531505</v>
      </c>
      <c r="D107" s="280">
        <v>71951493.94138892</v>
      </c>
      <c r="E107" s="280">
        <v>1279705.2341819953</v>
      </c>
      <c r="F107" s="280">
        <v>11812011.347702861</v>
      </c>
      <c r="G107" s="280">
        <v>4603884.7875153366</v>
      </c>
      <c r="H107" s="280">
        <v>182562.58387480554</v>
      </c>
      <c r="I107" s="280">
        <v>435901576.34591782</v>
      </c>
      <c r="J107" s="280">
        <v>79868303.285693794</v>
      </c>
      <c r="K107" s="280">
        <v>26669634.640387937</v>
      </c>
      <c r="L107" s="280">
        <v>422792.34866959736</v>
      </c>
      <c r="M107" s="280">
        <v>8977794.6577306092</v>
      </c>
      <c r="N107" s="280">
        <v>99406.295096604663</v>
      </c>
      <c r="O107" s="280">
        <v>55823997.78415437</v>
      </c>
      <c r="P107" s="280">
        <v>869444.74040299468</v>
      </c>
      <c r="Q107" s="280">
        <v>7133804.490750025</v>
      </c>
      <c r="R107" s="280">
        <v>562272.42254269472</v>
      </c>
      <c r="S107" s="280">
        <v>5793837.5319520477</v>
      </c>
      <c r="T107" s="280">
        <v>26237763.95352871</v>
      </c>
      <c r="U107" s="280">
        <v>40918427.926777326</v>
      </c>
      <c r="V107" s="280">
        <v>3156658.8872833559</v>
      </c>
      <c r="W107" s="280">
        <v>-432817.42091118172</v>
      </c>
      <c r="X107" s="280">
        <v>1906930.4309848479</v>
      </c>
      <c r="Y107" s="280">
        <v>1113087.9361912275</v>
      </c>
      <c r="Z107" s="280">
        <v>39151427.172230303</v>
      </c>
      <c r="AA107" s="280">
        <v>7460797.9706562441</v>
      </c>
      <c r="AB107" s="280">
        <v>2923096.6857253886</v>
      </c>
      <c r="AC107" s="280">
        <v>1674765.9187058553</v>
      </c>
      <c r="AD107" s="280">
        <v>12846085.204912253</v>
      </c>
      <c r="AE107" s="280">
        <v>174666.29020046297</v>
      </c>
      <c r="AF107" s="280">
        <v>9202533.4194997903</v>
      </c>
      <c r="AG107" s="280">
        <v>1980259976.2668979</v>
      </c>
    </row>
    <row r="108" spans="1:33" x14ac:dyDescent="0.35">
      <c r="A108" s="279" t="s">
        <v>335</v>
      </c>
      <c r="B108" s="279" t="s">
        <v>419</v>
      </c>
      <c r="C108" s="280">
        <v>1077159209.2691021</v>
      </c>
      <c r="D108" s="280">
        <v>68639066.682036445</v>
      </c>
      <c r="E108" s="280">
        <v>1088234.1719918989</v>
      </c>
      <c r="F108" s="280">
        <v>11056589.689481176</v>
      </c>
      <c r="G108" s="280">
        <v>4274552.1523458483</v>
      </c>
      <c r="H108" s="280">
        <v>182506.22053552984</v>
      </c>
      <c r="I108" s="280">
        <v>446454476.13135493</v>
      </c>
      <c r="J108" s="280">
        <v>77794062.621455595</v>
      </c>
      <c r="K108" s="280">
        <v>27507648.949738082</v>
      </c>
      <c r="L108" s="280">
        <v>371728.41375340027</v>
      </c>
      <c r="M108" s="280">
        <v>8649465.4841085933</v>
      </c>
      <c r="N108" s="280">
        <v>120017.48809287301</v>
      </c>
      <c r="O108" s="280">
        <v>50972194.964512654</v>
      </c>
      <c r="P108" s="280">
        <v>610983.98549129639</v>
      </c>
      <c r="Q108" s="280">
        <v>7866771.8210438918</v>
      </c>
      <c r="R108" s="280">
        <v>790059.22857360297</v>
      </c>
      <c r="S108" s="280">
        <v>5791042.9783061892</v>
      </c>
      <c r="T108" s="280">
        <v>27393221.726932984</v>
      </c>
      <c r="U108" s="280">
        <v>41689077.39964886</v>
      </c>
      <c r="V108" s="280">
        <v>4349187.5983523447</v>
      </c>
      <c r="W108" s="280">
        <v>1209320.9616899919</v>
      </c>
      <c r="X108" s="280">
        <v>2025844.1429445927</v>
      </c>
      <c r="Y108" s="280">
        <v>3292943.9350012885</v>
      </c>
      <c r="Z108" s="280">
        <v>42970585.256932676</v>
      </c>
      <c r="AA108" s="280">
        <v>7792087.8608552748</v>
      </c>
      <c r="AB108" s="280">
        <v>4399728.0242928788</v>
      </c>
      <c r="AC108" s="280">
        <v>1748808.7353998781</v>
      </c>
      <c r="AD108" s="280">
        <v>15146468.101758854</v>
      </c>
      <c r="AE108" s="280">
        <v>174579.16211772728</v>
      </c>
      <c r="AF108" s="280">
        <v>9204601.9732002094</v>
      </c>
      <c r="AG108" s="280">
        <v>1950725065.1310525</v>
      </c>
    </row>
    <row r="109" spans="1:33" x14ac:dyDescent="0.35">
      <c r="A109" s="279" t="s">
        <v>335</v>
      </c>
      <c r="B109" s="279" t="s">
        <v>420</v>
      </c>
      <c r="C109" s="280">
        <v>785105951.26575887</v>
      </c>
      <c r="D109" s="280">
        <v>51340591.294319764</v>
      </c>
      <c r="E109" s="280">
        <v>885208.45652576454</v>
      </c>
      <c r="F109" s="280">
        <v>8195528.3668181254</v>
      </c>
      <c r="G109" s="280">
        <v>3202128.0911226678</v>
      </c>
      <c r="H109" s="280">
        <v>182449.88933125947</v>
      </c>
      <c r="I109" s="280">
        <v>327524927.93443328</v>
      </c>
      <c r="J109" s="280">
        <v>58975277.906036824</v>
      </c>
      <c r="K109" s="280">
        <v>20940237.40930225</v>
      </c>
      <c r="L109" s="280">
        <v>305313.20909134735</v>
      </c>
      <c r="M109" s="280">
        <v>6682079.0770373754</v>
      </c>
      <c r="N109" s="280">
        <v>88557.540870584955</v>
      </c>
      <c r="O109" s="280">
        <v>40628223.718417279</v>
      </c>
      <c r="P109" s="280">
        <v>497877.0830124364</v>
      </c>
      <c r="Q109" s="280">
        <v>5875290.2753357142</v>
      </c>
      <c r="R109" s="280">
        <v>554906.13653521694</v>
      </c>
      <c r="S109" s="280">
        <v>5788249.9452567697</v>
      </c>
      <c r="T109" s="280">
        <v>25894311.042612694</v>
      </c>
      <c r="U109" s="280">
        <v>36908900.556919619</v>
      </c>
      <c r="V109" s="280">
        <v>3964385.7916123043</v>
      </c>
      <c r="W109" s="280">
        <v>513548.8963247012</v>
      </c>
      <c r="X109" s="280">
        <v>1871530.4199703289</v>
      </c>
      <c r="Y109" s="280">
        <v>942646.29743916867</v>
      </c>
      <c r="Z109" s="280">
        <v>39017406.533633769</v>
      </c>
      <c r="AA109" s="280">
        <v>6816737.9323549327</v>
      </c>
      <c r="AB109" s="280">
        <v>4074899.0085271825</v>
      </c>
      <c r="AC109" s="280">
        <v>1613182.2329935315</v>
      </c>
      <c r="AD109" s="280">
        <v>14512203.622114502</v>
      </c>
      <c r="AE109" s="280">
        <v>174492.1034056019</v>
      </c>
      <c r="AF109" s="280">
        <v>9206671.5410327855</v>
      </c>
      <c r="AG109" s="280">
        <v>1462283713.5781465</v>
      </c>
    </row>
    <row r="110" spans="1:33" x14ac:dyDescent="0.35">
      <c r="A110" s="279" t="s">
        <v>335</v>
      </c>
      <c r="B110" s="279" t="s">
        <v>421</v>
      </c>
      <c r="C110" s="280">
        <v>559626341.59734273</v>
      </c>
      <c r="D110" s="280">
        <v>43357996.474845283</v>
      </c>
      <c r="E110" s="280">
        <v>762429.10386240249</v>
      </c>
      <c r="F110" s="280">
        <v>6334085.640232062</v>
      </c>
      <c r="G110" s="280">
        <v>2868566.6802468258</v>
      </c>
      <c r="H110" s="280">
        <v>182393.59022951953</v>
      </c>
      <c r="I110" s="280">
        <v>343214117.57026571</v>
      </c>
      <c r="J110" s="280">
        <v>65452081.851180345</v>
      </c>
      <c r="K110" s="280">
        <v>21298376.949785508</v>
      </c>
      <c r="L110" s="280">
        <v>296091.55023286986</v>
      </c>
      <c r="M110" s="280">
        <v>7383720.3127510361</v>
      </c>
      <c r="N110" s="280">
        <v>68338.876158393497</v>
      </c>
      <c r="O110" s="280">
        <v>44479141.288356818</v>
      </c>
      <c r="P110" s="280">
        <v>820126.07683605806</v>
      </c>
      <c r="Q110" s="280">
        <v>5802193.744825881</v>
      </c>
      <c r="R110" s="280">
        <v>1780900.7828974281</v>
      </c>
      <c r="S110" s="280">
        <v>5785458.4318768829</v>
      </c>
      <c r="T110" s="280">
        <v>23657832.897089072</v>
      </c>
      <c r="U110" s="280">
        <v>37900113.874461144</v>
      </c>
      <c r="V110" s="280">
        <v>3506025.990353168</v>
      </c>
      <c r="W110" s="280">
        <v>439812.95716603799</v>
      </c>
      <c r="X110" s="280">
        <v>1651458.9734340762</v>
      </c>
      <c r="Y110" s="280">
        <v>2124439.5617485964</v>
      </c>
      <c r="Z110" s="280">
        <v>38605080.762721285</v>
      </c>
      <c r="AA110" s="280">
        <v>6859078.111838989</v>
      </c>
      <c r="AB110" s="280">
        <v>3603114.1625343738</v>
      </c>
      <c r="AC110" s="280">
        <v>1532322.87186812</v>
      </c>
      <c r="AD110" s="280">
        <v>14906792.38691332</v>
      </c>
      <c r="AE110" s="280">
        <v>174405.11399600521</v>
      </c>
      <c r="AF110" s="280">
        <v>9208742.1231867354</v>
      </c>
      <c r="AG110" s="280">
        <v>1253681580.3092368</v>
      </c>
    </row>
    <row r="111" spans="1:33" x14ac:dyDescent="0.35">
      <c r="A111" s="279" t="s">
        <v>335</v>
      </c>
      <c r="B111" s="279" t="s">
        <v>422</v>
      </c>
      <c r="C111" s="280">
        <v>580610193.51373887</v>
      </c>
      <c r="D111" s="280">
        <v>60346331.598557644</v>
      </c>
      <c r="E111" s="280">
        <v>1030822.8274235419</v>
      </c>
      <c r="F111" s="280">
        <v>7364505.0496605979</v>
      </c>
      <c r="G111" s="280">
        <v>4184404.5071545299</v>
      </c>
      <c r="H111" s="280">
        <v>182337.3231968375</v>
      </c>
      <c r="I111" s="280">
        <v>341179045.39103836</v>
      </c>
      <c r="J111" s="280">
        <v>64112004.511806376</v>
      </c>
      <c r="K111" s="280">
        <v>22612385.283952992</v>
      </c>
      <c r="L111" s="280">
        <v>293015.17734142084</v>
      </c>
      <c r="M111" s="280">
        <v>5984342.856129257</v>
      </c>
      <c r="N111" s="280">
        <v>59665.639482645733</v>
      </c>
      <c r="O111" s="280">
        <v>47732855.793776162</v>
      </c>
      <c r="P111" s="280">
        <v>1289637.5939393041</v>
      </c>
      <c r="Q111" s="280">
        <v>5770475.9086237522</v>
      </c>
      <c r="R111" s="280">
        <v>541203.54711345234</v>
      </c>
      <c r="S111" s="280">
        <v>5782668.4372097813</v>
      </c>
      <c r="T111" s="280">
        <v>24498896.218236264</v>
      </c>
      <c r="U111" s="280">
        <v>36713132.636433303</v>
      </c>
      <c r="V111" s="280">
        <v>3543567.1732617817</v>
      </c>
      <c r="W111" s="280">
        <v>221392.6006220408</v>
      </c>
      <c r="X111" s="280">
        <v>1464678.8133107689</v>
      </c>
      <c r="Y111" s="280">
        <v>1133301.6193472187</v>
      </c>
      <c r="Z111" s="280">
        <v>32709535.619021289</v>
      </c>
      <c r="AA111" s="280">
        <v>7518195.2033999134</v>
      </c>
      <c r="AB111" s="280">
        <v>2854454.239995454</v>
      </c>
      <c r="AC111" s="280">
        <v>1290426.2922618149</v>
      </c>
      <c r="AD111" s="280">
        <v>16227524.191417968</v>
      </c>
      <c r="AE111" s="280">
        <v>174318.19381984248</v>
      </c>
      <c r="AF111" s="280">
        <v>9210813.7197747454</v>
      </c>
      <c r="AG111" s="280">
        <v>1286636131.4810481</v>
      </c>
    </row>
    <row r="112" spans="1:33" x14ac:dyDescent="0.35">
      <c r="A112" s="279" t="s">
        <v>335</v>
      </c>
      <c r="B112" s="279" t="s">
        <v>423</v>
      </c>
      <c r="C112" s="280">
        <v>726245177.06542242</v>
      </c>
      <c r="D112" s="280">
        <v>104145556.651839</v>
      </c>
      <c r="E112" s="280">
        <v>1604747.3696043552</v>
      </c>
      <c r="F112" s="280">
        <v>10254080.63904158</v>
      </c>
      <c r="G112" s="280">
        <v>7571086.5542569431</v>
      </c>
      <c r="H112" s="280">
        <v>182224.8532101083</v>
      </c>
      <c r="I112" s="280">
        <v>362236158.8220036</v>
      </c>
      <c r="J112" s="280">
        <v>68049848.607510701</v>
      </c>
      <c r="K112" s="280">
        <v>25205928.11895309</v>
      </c>
      <c r="L112" s="280">
        <v>283841.54795079562</v>
      </c>
      <c r="M112" s="280">
        <v>4880315.8612283906</v>
      </c>
      <c r="N112" s="280">
        <v>79965.748945657149</v>
      </c>
      <c r="O112" s="280">
        <v>54319987.090993069</v>
      </c>
      <c r="P112" s="280">
        <v>1416634.0265130377</v>
      </c>
      <c r="Q112" s="280">
        <v>5685865.4088341324</v>
      </c>
      <c r="R112" s="280">
        <v>314266.23812015413</v>
      </c>
      <c r="S112" s="280">
        <v>5777091.4837708939</v>
      </c>
      <c r="T112" s="280">
        <v>22862510.664562084</v>
      </c>
      <c r="U112" s="280">
        <v>36756274.666664131</v>
      </c>
      <c r="V112" s="280">
        <v>3319698.707483531</v>
      </c>
      <c r="W112" s="280">
        <v>217341.76442979736</v>
      </c>
      <c r="X112" s="280">
        <v>1179002.7498844448</v>
      </c>
      <c r="Y112" s="280">
        <v>1114858.7579302439</v>
      </c>
      <c r="Z112" s="280">
        <v>39795478.462836124</v>
      </c>
      <c r="AA112" s="280">
        <v>8974540.3310710676</v>
      </c>
      <c r="AB112" s="280">
        <v>3204421.6115345727</v>
      </c>
      <c r="AC112" s="280">
        <v>2036456.4574354007</v>
      </c>
      <c r="AD112" s="280">
        <v>14398912.816076545</v>
      </c>
      <c r="AE112" s="280">
        <v>174144.49180952163</v>
      </c>
      <c r="AF112" s="280">
        <v>9214958.9422576055</v>
      </c>
      <c r="AG112" s="280">
        <v>1521501376.5121732</v>
      </c>
    </row>
    <row r="113" spans="1:33" x14ac:dyDescent="0.35">
      <c r="A113" s="279" t="s">
        <v>335</v>
      </c>
      <c r="B113" s="279" t="s">
        <v>424</v>
      </c>
      <c r="C113" s="280">
        <v>723714163.91897511</v>
      </c>
      <c r="D113" s="280">
        <v>120572897.93740883</v>
      </c>
      <c r="E113" s="280">
        <v>1736068.5741051054</v>
      </c>
      <c r="F113" s="280">
        <v>10637553.700693909</v>
      </c>
      <c r="G113" s="280">
        <v>8420677.137294475</v>
      </c>
      <c r="H113" s="280">
        <v>182168.68219955565</v>
      </c>
      <c r="I113" s="280">
        <v>376616105.93020487</v>
      </c>
      <c r="J113" s="280">
        <v>64562253.494200937</v>
      </c>
      <c r="K113" s="280">
        <v>25724840.087796461</v>
      </c>
      <c r="L113" s="280">
        <v>298894.06222297892</v>
      </c>
      <c r="M113" s="280">
        <v>7798264.7812968306</v>
      </c>
      <c r="N113" s="280">
        <v>104188.12857340566</v>
      </c>
      <c r="O113" s="280">
        <v>51943892.663569793</v>
      </c>
      <c r="P113" s="280">
        <v>926580.70923580555</v>
      </c>
      <c r="Q113" s="280">
        <v>6206881.0274509396</v>
      </c>
      <c r="R113" s="280">
        <v>183183.91805250043</v>
      </c>
      <c r="S113" s="280">
        <v>5774306.0399555024</v>
      </c>
      <c r="T113" s="280">
        <v>23691785.211791776</v>
      </c>
      <c r="U113" s="280">
        <v>34058017.181373149</v>
      </c>
      <c r="V113" s="280">
        <v>3430642.2723546582</v>
      </c>
      <c r="W113" s="280">
        <v>250963.91872528996</v>
      </c>
      <c r="X113" s="280">
        <v>1375000.1108412519</v>
      </c>
      <c r="Y113" s="280">
        <v>1096684.4841282815</v>
      </c>
      <c r="Z113" s="280">
        <v>34503508.84789861</v>
      </c>
      <c r="AA113" s="280">
        <v>15085505.875014167</v>
      </c>
      <c r="AB113" s="280">
        <v>3480858.6622400377</v>
      </c>
      <c r="AC113" s="280">
        <v>1684806.5227302089</v>
      </c>
      <c r="AD113" s="280">
        <v>14581123.905862641</v>
      </c>
      <c r="AE113" s="280">
        <v>174057.77897097822</v>
      </c>
      <c r="AF113" s="280">
        <v>9217033.5813709423</v>
      </c>
      <c r="AG113" s="280">
        <v>1548032909.1465387</v>
      </c>
    </row>
    <row r="114" spans="1:33" x14ac:dyDescent="0.35">
      <c r="A114" s="279" t="s">
        <v>335</v>
      </c>
      <c r="B114" s="279" t="s">
        <v>425</v>
      </c>
      <c r="C114" s="280">
        <v>613168363.22319674</v>
      </c>
      <c r="D114" s="280">
        <v>112440724.50743613</v>
      </c>
      <c r="E114" s="280">
        <v>1441605.4990882142</v>
      </c>
      <c r="F114" s="280">
        <v>9385452.3618782051</v>
      </c>
      <c r="G114" s="280">
        <v>7865837.9578651534</v>
      </c>
      <c r="H114" s="280">
        <v>182112.54313032515</v>
      </c>
      <c r="I114" s="280">
        <v>365451450.57716811</v>
      </c>
      <c r="J114" s="280">
        <v>55835827.49790559</v>
      </c>
      <c r="K114" s="280">
        <v>22796262.338863302</v>
      </c>
      <c r="L114" s="280">
        <v>245514.26954214156</v>
      </c>
      <c r="M114" s="280">
        <v>6819908.1556798508</v>
      </c>
      <c r="N114" s="280">
        <v>82616.913705932544</v>
      </c>
      <c r="O114" s="280">
        <v>46186156.751402453</v>
      </c>
      <c r="P114" s="280">
        <v>2090537.488488283</v>
      </c>
      <c r="Q114" s="280">
        <v>5577837.5961805712</v>
      </c>
      <c r="R114" s="280">
        <v>170086.34033881157</v>
      </c>
      <c r="S114" s="280">
        <v>5771522.1110814149</v>
      </c>
      <c r="T114" s="280">
        <v>24872399.978552673</v>
      </c>
      <c r="U114" s="280">
        <v>31949091.316198044</v>
      </c>
      <c r="V114" s="280">
        <v>3462909.0250625093</v>
      </c>
      <c r="W114" s="280">
        <v>531574.46601516637</v>
      </c>
      <c r="X114" s="280">
        <v>1514209.8249775101</v>
      </c>
      <c r="Y114" s="280">
        <v>1044633.9663426353</v>
      </c>
      <c r="Z114" s="280">
        <v>32134560.36134246</v>
      </c>
      <c r="AA114" s="280">
        <v>13223503.033951078</v>
      </c>
      <c r="AB114" s="280">
        <v>3391402.6585420333</v>
      </c>
      <c r="AC114" s="280">
        <v>1473136.6798784046</v>
      </c>
      <c r="AD114" s="280">
        <v>14973874.456753664</v>
      </c>
      <c r="AE114" s="280">
        <v>173971.13509142378</v>
      </c>
      <c r="AF114" s="280">
        <v>9219109.2359948587</v>
      </c>
      <c r="AG114" s="280">
        <v>1393476192.2716529</v>
      </c>
    </row>
    <row r="115" spans="1:33" x14ac:dyDescent="0.35">
      <c r="A115" s="279" t="s">
        <v>335</v>
      </c>
      <c r="B115" s="279" t="s">
        <v>426</v>
      </c>
      <c r="C115" s="280">
        <v>559685563.25351918</v>
      </c>
      <c r="D115" s="280">
        <v>101155452.56872807</v>
      </c>
      <c r="E115" s="280">
        <v>1473214.708583256</v>
      </c>
      <c r="F115" s="280">
        <v>8584191.0585000943</v>
      </c>
      <c r="G115" s="280">
        <v>6934719.7858601678</v>
      </c>
      <c r="H115" s="280">
        <v>182056.43597328133</v>
      </c>
      <c r="I115" s="280">
        <v>357595121.04371804</v>
      </c>
      <c r="J115" s="280">
        <v>50617763.900781423</v>
      </c>
      <c r="K115" s="280">
        <v>19100070.947124932</v>
      </c>
      <c r="L115" s="280">
        <v>210993.85206563803</v>
      </c>
      <c r="M115" s="280">
        <v>5425297.9476270135</v>
      </c>
      <c r="N115" s="280">
        <v>64970.606713183195</v>
      </c>
      <c r="O115" s="280">
        <v>37137018.322259955</v>
      </c>
      <c r="P115" s="280">
        <v>935945.52610285743</v>
      </c>
      <c r="Q115" s="280">
        <v>4204527.263327213</v>
      </c>
      <c r="R115" s="280">
        <v>111861.7182099787</v>
      </c>
      <c r="S115" s="280">
        <v>5768739.6962853577</v>
      </c>
      <c r="T115" s="280">
        <v>29019092.6659531</v>
      </c>
      <c r="U115" s="280">
        <v>38516269.110496178</v>
      </c>
      <c r="V115" s="280">
        <v>3574141.6408309387</v>
      </c>
      <c r="W115" s="280">
        <v>516546.7427027782</v>
      </c>
      <c r="X115" s="280">
        <v>1741950.3818720754</v>
      </c>
      <c r="Y115" s="280">
        <v>1207150.1651176494</v>
      </c>
      <c r="Z115" s="280">
        <v>36761559.528844908</v>
      </c>
      <c r="AA115" s="280">
        <v>14115988.180832336</v>
      </c>
      <c r="AB115" s="280">
        <v>3956800.6065095337</v>
      </c>
      <c r="AC115" s="280">
        <v>1538515.4288200515</v>
      </c>
      <c r="AD115" s="280">
        <v>8475266.8223377243</v>
      </c>
      <c r="AE115" s="280">
        <v>173884.56010512737</v>
      </c>
      <c r="AF115" s="280">
        <v>9221185.9065959323</v>
      </c>
      <c r="AG115" s="280">
        <v>1308005860.3763978</v>
      </c>
    </row>
    <row r="116" spans="1:33" x14ac:dyDescent="0.35">
      <c r="A116" s="279" t="s">
        <v>335</v>
      </c>
      <c r="B116" s="279" t="s">
        <v>427</v>
      </c>
      <c r="C116" s="280">
        <v>526989637.42253482</v>
      </c>
      <c r="D116" s="280">
        <v>82827609.00398463</v>
      </c>
      <c r="E116" s="280">
        <v>1187753.3638884672</v>
      </c>
      <c r="F116" s="280">
        <v>7618799.0740944138</v>
      </c>
      <c r="G116" s="280">
        <v>5883611.8384781117</v>
      </c>
      <c r="H116" s="280">
        <v>182000.36069901357</v>
      </c>
      <c r="I116" s="280">
        <v>326330488.44709563</v>
      </c>
      <c r="J116" s="280">
        <v>55847550.336875476</v>
      </c>
      <c r="K116" s="280">
        <v>20535839.831733342</v>
      </c>
      <c r="L116" s="280">
        <v>268105.78318405192</v>
      </c>
      <c r="M116" s="280">
        <v>6762005.0885019675</v>
      </c>
      <c r="N116" s="280">
        <v>69191.12821790186</v>
      </c>
      <c r="O116" s="280">
        <v>38383282.379804797</v>
      </c>
      <c r="P116" s="280">
        <v>677908.41555068735</v>
      </c>
      <c r="Q116" s="280">
        <v>5017398.0362256682</v>
      </c>
      <c r="R116" s="280">
        <v>412843.04266791703</v>
      </c>
      <c r="S116" s="280">
        <v>5765958.7946993988</v>
      </c>
      <c r="T116" s="280">
        <v>26163352.013848726</v>
      </c>
      <c r="U116" s="280">
        <v>34380025.281244367</v>
      </c>
      <c r="V116" s="280">
        <v>3489065.2485455158</v>
      </c>
      <c r="W116" s="280">
        <v>476554.01897644257</v>
      </c>
      <c r="X116" s="280">
        <v>728863.62585981307</v>
      </c>
      <c r="Y116" s="280">
        <v>690525.18131919473</v>
      </c>
      <c r="Z116" s="280">
        <v>33258833.437090412</v>
      </c>
      <c r="AA116" s="280">
        <v>6970250.0288243508</v>
      </c>
      <c r="AB116" s="280">
        <v>3050101.2092825714</v>
      </c>
      <c r="AC116" s="280">
        <v>1536889.119073272</v>
      </c>
      <c r="AD116" s="280">
        <v>15708626.605694102</v>
      </c>
      <c r="AE116" s="280">
        <v>173798.0539462539</v>
      </c>
      <c r="AF116" s="280">
        <v>9223263.5936116036</v>
      </c>
      <c r="AG116" s="280">
        <v>1220610129.765553</v>
      </c>
    </row>
    <row r="117" spans="1:33" x14ac:dyDescent="0.35">
      <c r="A117" s="279" t="s">
        <v>335</v>
      </c>
      <c r="B117" s="279" t="s">
        <v>428</v>
      </c>
      <c r="C117" s="280">
        <v>608151284.57742035</v>
      </c>
      <c r="D117" s="280">
        <v>76141854.232604399</v>
      </c>
      <c r="E117" s="280">
        <v>1098419.6787659712</v>
      </c>
      <c r="F117" s="280">
        <v>8259711.0818355931</v>
      </c>
      <c r="G117" s="280">
        <v>5230120.0833692895</v>
      </c>
      <c r="H117" s="280">
        <v>181944.31727769246</v>
      </c>
      <c r="I117" s="280">
        <v>322738257.93335718</v>
      </c>
      <c r="J117" s="280">
        <v>55017989.06548512</v>
      </c>
      <c r="K117" s="280">
        <v>19390928.027639713</v>
      </c>
      <c r="L117" s="280">
        <v>266867.97355875565</v>
      </c>
      <c r="M117" s="280">
        <v>6360485.4855768858</v>
      </c>
      <c r="N117" s="280">
        <v>61302.712702764053</v>
      </c>
      <c r="O117" s="280">
        <v>36367985.024178661</v>
      </c>
      <c r="P117" s="280">
        <v>629652.6515510329</v>
      </c>
      <c r="Q117" s="280">
        <v>4577020.5669976333</v>
      </c>
      <c r="R117" s="280">
        <v>2272520.1082925024</v>
      </c>
      <c r="S117" s="280">
        <v>5763179.4054461913</v>
      </c>
      <c r="T117" s="280">
        <v>26392959.896196142</v>
      </c>
      <c r="U117" s="280">
        <v>35599663.356771007</v>
      </c>
      <c r="V117" s="280">
        <v>3583460.5705131907</v>
      </c>
      <c r="W117" s="280">
        <v>570862.09049828257</v>
      </c>
      <c r="X117" s="280">
        <v>1787620.6955579231</v>
      </c>
      <c r="Y117" s="280">
        <v>825995.22796557401</v>
      </c>
      <c r="Z117" s="280">
        <v>35351508.643425189</v>
      </c>
      <c r="AA117" s="280">
        <v>4695298.7738880692</v>
      </c>
      <c r="AB117" s="280">
        <v>3256213.8985479889</v>
      </c>
      <c r="AC117" s="280">
        <v>1498275.2279308347</v>
      </c>
      <c r="AD117" s="280">
        <v>15347656.997914627</v>
      </c>
      <c r="AE117" s="280">
        <v>173711.61654870416</v>
      </c>
      <c r="AF117" s="280">
        <v>9225342.2974411771</v>
      </c>
      <c r="AG117" s="280">
        <v>1290818092.2192583</v>
      </c>
    </row>
    <row r="118" spans="1:33" x14ac:dyDescent="0.35">
      <c r="A118" s="279" t="s">
        <v>335</v>
      </c>
      <c r="B118" s="279" t="s">
        <v>429</v>
      </c>
      <c r="C118" s="280">
        <v>842352848.16231608</v>
      </c>
      <c r="D118" s="280">
        <v>62612156.694355778</v>
      </c>
      <c r="E118" s="280">
        <v>1136019.5742713483</v>
      </c>
      <c r="F118" s="280">
        <v>9596782.9636460859</v>
      </c>
      <c r="G118" s="280">
        <v>4393428.0943069784</v>
      </c>
      <c r="H118" s="280">
        <v>181888.30567903369</v>
      </c>
      <c r="I118" s="280">
        <v>362483392.81957948</v>
      </c>
      <c r="J118" s="280">
        <v>64189914.761947408</v>
      </c>
      <c r="K118" s="280">
        <v>22592123.584822841</v>
      </c>
      <c r="L118" s="280">
        <v>315312.51264003752</v>
      </c>
      <c r="M118" s="280">
        <v>6774575.0651304601</v>
      </c>
      <c r="N118" s="280">
        <v>77619.015243204951</v>
      </c>
      <c r="O118" s="280">
        <v>41877594.432254232</v>
      </c>
      <c r="P118" s="280">
        <v>1179340.1685001217</v>
      </c>
      <c r="Q118" s="280">
        <v>5578886.6122684041</v>
      </c>
      <c r="R118" s="280">
        <v>595663.09865479171</v>
      </c>
      <c r="S118" s="280">
        <v>5760401.5276368149</v>
      </c>
      <c r="T118" s="280">
        <v>24442831.4381193</v>
      </c>
      <c r="U118" s="280">
        <v>35818609.40831627</v>
      </c>
      <c r="V118" s="280">
        <v>3985878.1256958521</v>
      </c>
      <c r="W118" s="280">
        <v>265062.98809103586</v>
      </c>
      <c r="X118" s="280">
        <v>1630496.4984945478</v>
      </c>
      <c r="Y118" s="280">
        <v>914804.4114026014</v>
      </c>
      <c r="Z118" s="280">
        <v>38050545.906462088</v>
      </c>
      <c r="AA118" s="280">
        <v>9797609.9283491485</v>
      </c>
      <c r="AB118" s="280">
        <v>3028653.4024282745</v>
      </c>
      <c r="AC118" s="280">
        <v>1500630.2119068976</v>
      </c>
      <c r="AD118" s="280">
        <v>13872144.229255699</v>
      </c>
      <c r="AE118" s="280">
        <v>173625.24784604341</v>
      </c>
      <c r="AF118" s="280">
        <v>9227422.0184454713</v>
      </c>
      <c r="AG118" s="280">
        <v>1574406261.2080674</v>
      </c>
    </row>
    <row r="119" spans="1:33" x14ac:dyDescent="0.35">
      <c r="A119" s="279" t="s">
        <v>335</v>
      </c>
      <c r="B119" s="279" t="s">
        <v>430</v>
      </c>
      <c r="C119" s="280">
        <v>1134264869.8110638</v>
      </c>
      <c r="D119" s="280">
        <v>72747451.030010924</v>
      </c>
      <c r="E119" s="280">
        <v>1294012.4400319487</v>
      </c>
      <c r="F119" s="280">
        <v>11942338.361749906</v>
      </c>
      <c r="G119" s="280">
        <v>4655868.3526496235</v>
      </c>
      <c r="H119" s="280">
        <v>181832.32587237275</v>
      </c>
      <c r="I119" s="280">
        <v>410930313.03642809</v>
      </c>
      <c r="J119" s="280">
        <v>75377296.096732169</v>
      </c>
      <c r="K119" s="280">
        <v>25168938.61618121</v>
      </c>
      <c r="L119" s="280">
        <v>398938.95601113292</v>
      </c>
      <c r="M119" s="280">
        <v>8471279.1972408891</v>
      </c>
      <c r="N119" s="280">
        <v>93811.477306881352</v>
      </c>
      <c r="O119" s="280">
        <v>52636188.55452691</v>
      </c>
      <c r="P119" s="280">
        <v>817445.6621493072</v>
      </c>
      <c r="Q119" s="280">
        <v>6731322.3169748886</v>
      </c>
      <c r="R119" s="280">
        <v>528259.11271036766</v>
      </c>
      <c r="S119" s="280">
        <v>5757625.1603716463</v>
      </c>
      <c r="T119" s="280">
        <v>26610737.229760565</v>
      </c>
      <c r="U119" s="280">
        <v>41626165.692224413</v>
      </c>
      <c r="V119" s="280">
        <v>3225164.7657042989</v>
      </c>
      <c r="W119" s="280">
        <v>-430494.09190385707</v>
      </c>
      <c r="X119" s="280">
        <v>1943059.9301073074</v>
      </c>
      <c r="Y119" s="280">
        <v>1134918.7669636204</v>
      </c>
      <c r="Z119" s="280">
        <v>39893213.783727638</v>
      </c>
      <c r="AA119" s="280">
        <v>7604237.9737657476</v>
      </c>
      <c r="AB119" s="280">
        <v>2971651.4707825133</v>
      </c>
      <c r="AC119" s="280">
        <v>1706736.1644620134</v>
      </c>
      <c r="AD119" s="280">
        <v>13103334.045742495</v>
      </c>
      <c r="AE119" s="280">
        <v>173538.9477715292</v>
      </c>
      <c r="AF119" s="280">
        <v>9229502.7569545731</v>
      </c>
      <c r="AG119" s="280">
        <v>1960789557.9440751</v>
      </c>
    </row>
    <row r="120" spans="1:33" x14ac:dyDescent="0.35">
      <c r="A120" s="279" t="s">
        <v>335</v>
      </c>
      <c r="B120" s="279" t="s">
        <v>431</v>
      </c>
      <c r="C120" s="280">
        <v>1040180436.4700314</v>
      </c>
      <c r="D120" s="280">
        <v>66291259.690096743</v>
      </c>
      <c r="E120" s="280">
        <v>1050460.0961981071</v>
      </c>
      <c r="F120" s="280">
        <v>10678668.186225897</v>
      </c>
      <c r="G120" s="280">
        <v>4129384.7402117085</v>
      </c>
      <c r="H120" s="280">
        <v>181776.37782682502</v>
      </c>
      <c r="I120" s="280">
        <v>412953336.93562287</v>
      </c>
      <c r="J120" s="280">
        <v>71955731.657730058</v>
      </c>
      <c r="K120" s="280">
        <v>25447174.358536977</v>
      </c>
      <c r="L120" s="280">
        <v>343871.91157441947</v>
      </c>
      <c r="M120" s="280">
        <v>8001293.7404631665</v>
      </c>
      <c r="N120" s="280">
        <v>110848.30942746731</v>
      </c>
      <c r="O120" s="280">
        <v>47135978.958683215</v>
      </c>
      <c r="P120" s="280">
        <v>562036.08125378797</v>
      </c>
      <c r="Q120" s="280">
        <v>7275801.2977337632</v>
      </c>
      <c r="R120" s="280">
        <v>726639.90437046625</v>
      </c>
      <c r="S120" s="280">
        <v>5754850.3027438074</v>
      </c>
      <c r="T120" s="280">
        <v>26473079.221831705</v>
      </c>
      <c r="U120" s="280">
        <v>40117200.499731392</v>
      </c>
      <c r="V120" s="280">
        <v>4176611.2733316137</v>
      </c>
      <c r="W120" s="280">
        <v>1156233.7589622461</v>
      </c>
      <c r="X120" s="280">
        <v>1943492.7762096073</v>
      </c>
      <c r="Y120" s="280">
        <v>3142644.898478135</v>
      </c>
      <c r="Z120" s="280">
        <v>41264607.75505735</v>
      </c>
      <c r="AA120" s="280">
        <v>7486151.3034470379</v>
      </c>
      <c r="AB120" s="280">
        <v>4228725.2491691904</v>
      </c>
      <c r="AC120" s="280">
        <v>1678573.4589774476</v>
      </c>
      <c r="AD120" s="280">
        <v>14548073.353901319</v>
      </c>
      <c r="AE120" s="280">
        <v>173452.71625822323</v>
      </c>
      <c r="AF120" s="280">
        <v>9231584.5132813267</v>
      </c>
      <c r="AG120" s="280">
        <v>1858399979.7973676</v>
      </c>
    </row>
    <row r="121" spans="1:33" x14ac:dyDescent="0.35">
      <c r="A121" s="279" t="s">
        <v>335</v>
      </c>
      <c r="B121" s="279" t="s">
        <v>432</v>
      </c>
      <c r="C121" s="280">
        <v>788039629.47675598</v>
      </c>
      <c r="D121" s="280">
        <v>51531818.367872328</v>
      </c>
      <c r="E121" s="280">
        <v>888582.91449735523</v>
      </c>
      <c r="F121" s="280">
        <v>8227053.5896855826</v>
      </c>
      <c r="G121" s="280">
        <v>3214897.2477307883</v>
      </c>
      <c r="H121" s="280">
        <v>181720.46151147792</v>
      </c>
      <c r="I121" s="280">
        <v>330957417.08687502</v>
      </c>
      <c r="J121" s="280">
        <v>59672359.604973659</v>
      </c>
      <c r="K121" s="280">
        <v>21180481.474513967</v>
      </c>
      <c r="L121" s="280">
        <v>308787.34875178034</v>
      </c>
      <c r="M121" s="280">
        <v>6758114.0314527899</v>
      </c>
      <c r="N121" s="280">
        <v>89321.29295459493</v>
      </c>
      <c r="O121" s="280">
        <v>41091252.225411534</v>
      </c>
      <c r="P121" s="280">
        <v>500683.25560115837</v>
      </c>
      <c r="Q121" s="280">
        <v>5941080.1871024743</v>
      </c>
      <c r="R121" s="280">
        <v>558522.86818325461</v>
      </c>
      <c r="S121" s="280">
        <v>5752076.9538438283</v>
      </c>
      <c r="T121" s="280">
        <v>24049433.876883402</v>
      </c>
      <c r="U121" s="280">
        <v>33877478.48860202</v>
      </c>
      <c r="V121" s="280">
        <v>3613261.1178881177</v>
      </c>
      <c r="W121" s="280">
        <v>467808.97689012723</v>
      </c>
      <c r="X121" s="280">
        <v>1703365.8799449354</v>
      </c>
      <c r="Y121" s="280">
        <v>858955.57619759918</v>
      </c>
      <c r="Z121" s="280">
        <v>35555829.480265893</v>
      </c>
      <c r="AA121" s="280">
        <v>6216675.6617959961</v>
      </c>
      <c r="AB121" s="280">
        <v>3712044.7900590608</v>
      </c>
      <c r="AC121" s="280">
        <v>1470957.7589413372</v>
      </c>
      <c r="AD121" s="280">
        <v>13224900.576090997</v>
      </c>
      <c r="AE121" s="280">
        <v>173366.55323914313</v>
      </c>
      <c r="AF121" s="280">
        <v>9233667.2877363637</v>
      </c>
      <c r="AG121" s="280">
        <v>1459051544.4122529</v>
      </c>
    </row>
    <row r="122" spans="1:33" x14ac:dyDescent="0.35">
      <c r="A122" s="279" t="s">
        <v>335</v>
      </c>
      <c r="B122" s="279" t="s">
        <v>433</v>
      </c>
      <c r="C122" s="280">
        <v>569767841.37334442</v>
      </c>
      <c r="D122" s="280">
        <v>44123402.365939096</v>
      </c>
      <c r="E122" s="280">
        <v>775672.1686325653</v>
      </c>
      <c r="F122" s="280">
        <v>6447801.3170420649</v>
      </c>
      <c r="G122" s="280">
        <v>2919493.4184315521</v>
      </c>
      <c r="H122" s="280">
        <v>181664.57689554829</v>
      </c>
      <c r="I122" s="280">
        <v>329979826.68748069</v>
      </c>
      <c r="J122" s="280">
        <v>62961299.488931403</v>
      </c>
      <c r="K122" s="280">
        <v>20485542.020724069</v>
      </c>
      <c r="L122" s="280">
        <v>284742.33244192868</v>
      </c>
      <c r="M122" s="280">
        <v>7100701.5981983878</v>
      </c>
      <c r="N122" s="280">
        <v>65781.293154404397</v>
      </c>
      <c r="O122" s="280">
        <v>42785435.861995839</v>
      </c>
      <c r="P122" s="280">
        <v>788344.96655141702</v>
      </c>
      <c r="Q122" s="280">
        <v>5578187.9090630449</v>
      </c>
      <c r="R122" s="280">
        <v>1714432.9509042818</v>
      </c>
      <c r="S122" s="280">
        <v>5749305.112763687</v>
      </c>
      <c r="T122" s="280">
        <v>22866443.40061067</v>
      </c>
      <c r="U122" s="280">
        <v>36441878.268119842</v>
      </c>
      <c r="V122" s="280">
        <v>3364321.8901418168</v>
      </c>
      <c r="W122" s="280">
        <v>420992.80058826122</v>
      </c>
      <c r="X122" s="280">
        <v>1581819.1333670914</v>
      </c>
      <c r="Y122" s="280">
        <v>2024998.0942703632</v>
      </c>
      <c r="Z122" s="280">
        <v>37008367.675031453</v>
      </c>
      <c r="AA122" s="280">
        <v>6577203.5824710438</v>
      </c>
      <c r="AB122" s="280">
        <v>3458321.5721201436</v>
      </c>
      <c r="AC122" s="280">
        <v>1469491.3872510165</v>
      </c>
      <c r="AD122" s="280">
        <v>14280114.350394271</v>
      </c>
      <c r="AE122" s="280">
        <v>173280.4586473981</v>
      </c>
      <c r="AF122" s="280">
        <v>9235751.080640493</v>
      </c>
      <c r="AG122" s="280">
        <v>1240612459.1361485</v>
      </c>
    </row>
    <row r="123" spans="1:33" x14ac:dyDescent="0.35">
      <c r="A123" s="279" t="s">
        <v>335</v>
      </c>
      <c r="B123" s="279" t="s">
        <v>434</v>
      </c>
      <c r="C123" s="280">
        <v>591842343.89301753</v>
      </c>
      <c r="D123" s="280">
        <v>61499692.094495073</v>
      </c>
      <c r="E123" s="280">
        <v>1050462.6476199934</v>
      </c>
      <c r="F123" s="280">
        <v>7504838.8860400012</v>
      </c>
      <c r="G123" s="280">
        <v>4263552.5966341421</v>
      </c>
      <c r="H123" s="280">
        <v>181608.72394847634</v>
      </c>
      <c r="I123" s="280">
        <v>329630349.97753954</v>
      </c>
      <c r="J123" s="280">
        <v>62018702.631823242</v>
      </c>
      <c r="K123" s="280">
        <v>21867582.345248047</v>
      </c>
      <c r="L123" s="280">
        <v>283300.1122258355</v>
      </c>
      <c r="M123" s="280">
        <v>5785928.9683273258</v>
      </c>
      <c r="N123" s="280">
        <v>57688.648194943758</v>
      </c>
      <c r="O123" s="280">
        <v>46150685.935842663</v>
      </c>
      <c r="P123" s="280">
        <v>1239626.6035629241</v>
      </c>
      <c r="Q123" s="280">
        <v>5575179.6263442636</v>
      </c>
      <c r="R123" s="280">
        <v>525679.07340254774</v>
      </c>
      <c r="S123" s="280">
        <v>5746534.7785994019</v>
      </c>
      <c r="T123" s="280">
        <v>23957648.814735495</v>
      </c>
      <c r="U123" s="280">
        <v>35748400.886427104</v>
      </c>
      <c r="V123" s="280">
        <v>3448273.7560682823</v>
      </c>
      <c r="W123" s="280">
        <v>214463.14262413012</v>
      </c>
      <c r="X123" s="280">
        <v>1423554.4472307272</v>
      </c>
      <c r="Y123" s="280">
        <v>1098925.1212319243</v>
      </c>
      <c r="Z123" s="280">
        <v>31782017.937382478</v>
      </c>
      <c r="AA123" s="280">
        <v>7311871.7044121092</v>
      </c>
      <c r="AB123" s="280">
        <v>2775006.8118045754</v>
      </c>
      <c r="AC123" s="280">
        <v>1258755.7919167066</v>
      </c>
      <c r="AD123" s="280">
        <v>15774642.890691187</v>
      </c>
      <c r="AE123" s="280">
        <v>173194.4324162803</v>
      </c>
      <c r="AF123" s="280">
        <v>9237835.8923319243</v>
      </c>
      <c r="AG123" s="280">
        <v>1279428349.1721389</v>
      </c>
    </row>
    <row r="124" spans="1:33" x14ac:dyDescent="0.35">
      <c r="A124" s="279" t="s">
        <v>335</v>
      </c>
      <c r="B124" s="279" t="s">
        <v>435</v>
      </c>
      <c r="C124" s="280">
        <v>714457922.70000374</v>
      </c>
      <c r="D124" s="280">
        <v>102433021.54785344</v>
      </c>
      <c r="E124" s="280">
        <v>1578374.7966918715</v>
      </c>
      <c r="F124" s="280">
        <v>10087506.391272048</v>
      </c>
      <c r="G124" s="280">
        <v>7449741.796825368</v>
      </c>
      <c r="H124" s="280">
        <v>181497.08132517335</v>
      </c>
      <c r="I124" s="280">
        <v>353518477.48623937</v>
      </c>
      <c r="J124" s="280">
        <v>66494955.961323217</v>
      </c>
      <c r="K124" s="280">
        <v>24626307.597377431</v>
      </c>
      <c r="L124" s="280">
        <v>277259.49605703325</v>
      </c>
      <c r="M124" s="280">
        <v>4767145.3529343568</v>
      </c>
      <c r="N124" s="280">
        <v>78256.538769324965</v>
      </c>
      <c r="O124" s="280">
        <v>53074670.755774796</v>
      </c>
      <c r="P124" s="280">
        <v>1369335.1313634296</v>
      </c>
      <c r="Q124" s="280">
        <v>5550490.0030062264</v>
      </c>
      <c r="R124" s="280">
        <v>305638.11208170443</v>
      </c>
      <c r="S124" s="280">
        <v>5740997.1221621232</v>
      </c>
      <c r="T124" s="280">
        <v>22835529.820122972</v>
      </c>
      <c r="U124" s="280">
        <v>36758139.227372289</v>
      </c>
      <c r="V124" s="280">
        <v>3318070.8418841665</v>
      </c>
      <c r="W124" s="280">
        <v>216470.45227654109</v>
      </c>
      <c r="X124" s="280">
        <v>1176036.0164932646</v>
      </c>
      <c r="Y124" s="280">
        <v>1111567.4542158372</v>
      </c>
      <c r="Z124" s="280">
        <v>39811106.803810418</v>
      </c>
      <c r="AA124" s="280">
        <v>8941288.4604482464</v>
      </c>
      <c r="AB124" s="280">
        <v>3203481.1489781649</v>
      </c>
      <c r="AC124" s="280">
        <v>2031439.9633309611</v>
      </c>
      <c r="AD124" s="280">
        <v>14393716.138421595</v>
      </c>
      <c r="AE124" s="280">
        <v>173022.51653752729</v>
      </c>
      <c r="AF124" s="280">
        <v>9242007.5534801781</v>
      </c>
      <c r="AG124" s="280">
        <v>1495203474.2684329</v>
      </c>
    </row>
    <row r="125" spans="1:33" x14ac:dyDescent="0.35">
      <c r="A125" s="279" t="s">
        <v>335</v>
      </c>
      <c r="B125" s="279" t="s">
        <v>436</v>
      </c>
      <c r="C125" s="280">
        <v>740429265.30074239</v>
      </c>
      <c r="D125" s="280">
        <v>123337503.24530914</v>
      </c>
      <c r="E125" s="280">
        <v>1776153.3002533505</v>
      </c>
      <c r="F125" s="280">
        <v>10882873.377572415</v>
      </c>
      <c r="G125" s="280">
        <v>8616615.3813442849</v>
      </c>
      <c r="H125" s="280">
        <v>181441.3232339391</v>
      </c>
      <c r="I125" s="280">
        <v>349866394.42008007</v>
      </c>
      <c r="J125" s="280">
        <v>60020338.615316853</v>
      </c>
      <c r="K125" s="280">
        <v>23906791.841896001</v>
      </c>
      <c r="L125" s="280">
        <v>277824.52226889785</v>
      </c>
      <c r="M125" s="280">
        <v>7248552.1166823599</v>
      </c>
      <c r="N125" s="280">
        <v>97078.52024235492</v>
      </c>
      <c r="O125" s="280">
        <v>48292256.719719499</v>
      </c>
      <c r="P125" s="280">
        <v>861879.5876570479</v>
      </c>
      <c r="Q125" s="280">
        <v>5761011.1655661827</v>
      </c>
      <c r="R125" s="280">
        <v>170236.9658364396</v>
      </c>
      <c r="S125" s="280">
        <v>5738231.304255126</v>
      </c>
      <c r="T125" s="280">
        <v>23028805.196786668</v>
      </c>
      <c r="U125" s="280">
        <v>32958737.141433332</v>
      </c>
      <c r="V125" s="280">
        <v>3311944.7682257653</v>
      </c>
      <c r="W125" s="280">
        <v>241295.80751145756</v>
      </c>
      <c r="X125" s="280">
        <v>1326805.449673479</v>
      </c>
      <c r="Y125" s="280">
        <v>1056103.2365939841</v>
      </c>
      <c r="Z125" s="280">
        <v>33291066.550186776</v>
      </c>
      <c r="AA125" s="280">
        <v>14497480.036353413</v>
      </c>
      <c r="AB125" s="280">
        <v>3359992.8950383849</v>
      </c>
      <c r="AC125" s="280">
        <v>1625885.4506637438</v>
      </c>
      <c r="AD125" s="280">
        <v>14075216.942073844</v>
      </c>
      <c r="AE125" s="280">
        <v>172936.69505610422</v>
      </c>
      <c r="AF125" s="280">
        <v>9244095.4234100133</v>
      </c>
      <c r="AG125" s="280">
        <v>1525654813.3009832</v>
      </c>
    </row>
    <row r="126" spans="1:33" x14ac:dyDescent="0.35">
      <c r="A126" s="279" t="s">
        <v>335</v>
      </c>
      <c r="B126" s="279" t="s">
        <v>437</v>
      </c>
      <c r="C126" s="280">
        <v>614318030.9209342</v>
      </c>
      <c r="D126" s="280">
        <v>112697552.65425231</v>
      </c>
      <c r="E126" s="280">
        <v>1443554.9156106592</v>
      </c>
      <c r="F126" s="280">
        <v>9405199.9743610825</v>
      </c>
      <c r="G126" s="280">
        <v>7886603.0416486757</v>
      </c>
      <c r="H126" s="280">
        <v>181385.59669262732</v>
      </c>
      <c r="I126" s="280">
        <v>330586725.85771304</v>
      </c>
      <c r="J126" s="280">
        <v>50483141.274504766</v>
      </c>
      <c r="K126" s="280">
        <v>20611159.866364598</v>
      </c>
      <c r="L126" s="280">
        <v>221873.91898874083</v>
      </c>
      <c r="M126" s="280">
        <v>6163225.2677852456</v>
      </c>
      <c r="N126" s="280">
        <v>74801.560116358392</v>
      </c>
      <c r="O126" s="280">
        <v>41755910.616578162</v>
      </c>
      <c r="P126" s="280">
        <v>1897416.7327904729</v>
      </c>
      <c r="Q126" s="280">
        <v>5036044.1010459336</v>
      </c>
      <c r="R126" s="280">
        <v>153884.44290974896</v>
      </c>
      <c r="S126" s="280">
        <v>5735466.9897269271</v>
      </c>
      <c r="T126" s="280">
        <v>23652415.358552244</v>
      </c>
      <c r="U126" s="280">
        <v>30129352.088397592</v>
      </c>
      <c r="V126" s="280">
        <v>3245577.5586624765</v>
      </c>
      <c r="W126" s="280">
        <v>497756.90942528856</v>
      </c>
      <c r="X126" s="280">
        <v>1420420.9124694162</v>
      </c>
      <c r="Y126" s="280">
        <v>975440.52263362345</v>
      </c>
      <c r="Z126" s="280">
        <v>30107098.436739948</v>
      </c>
      <c r="AA126" s="280">
        <v>12330961.81714531</v>
      </c>
      <c r="AB126" s="280">
        <v>3177678.2410130636</v>
      </c>
      <c r="AC126" s="280">
        <v>1379494.2111451929</v>
      </c>
      <c r="AD126" s="280">
        <v>14017753.180440698</v>
      </c>
      <c r="AE126" s="280">
        <v>172850.94167163459</v>
      </c>
      <c r="AF126" s="280">
        <v>9246184.3137248475</v>
      </c>
      <c r="AG126" s="280">
        <v>1339004962.2240441</v>
      </c>
    </row>
    <row r="127" spans="1:33" x14ac:dyDescent="0.35">
      <c r="A127" s="279" t="s">
        <v>335</v>
      </c>
      <c r="B127" s="279" t="s">
        <v>438</v>
      </c>
      <c r="C127" s="280">
        <v>576865085.5428735</v>
      </c>
      <c r="D127" s="280">
        <v>104298618.12444916</v>
      </c>
      <c r="E127" s="280">
        <v>1519811.8016034293</v>
      </c>
      <c r="F127" s="280">
        <v>8849712.8854977731</v>
      </c>
      <c r="G127" s="280">
        <v>7150557.6688707992</v>
      </c>
      <c r="H127" s="280">
        <v>181329.90167128967</v>
      </c>
      <c r="I127" s="280">
        <v>335659430.13339335</v>
      </c>
      <c r="J127" s="280">
        <v>47438093.933920227</v>
      </c>
      <c r="K127" s="280">
        <v>17900416.887264557</v>
      </c>
      <c r="L127" s="280">
        <v>197609.20751888875</v>
      </c>
      <c r="M127" s="280">
        <v>5081137.7558570374</v>
      </c>
      <c r="N127" s="280">
        <v>60932.226609533129</v>
      </c>
      <c r="O127" s="280">
        <v>34781290.007633328</v>
      </c>
      <c r="P127" s="280">
        <v>879309.31523522839</v>
      </c>
      <c r="Q127" s="280">
        <v>3935725.3301662817</v>
      </c>
      <c r="R127" s="280">
        <v>104764.7296371812</v>
      </c>
      <c r="S127" s="280">
        <v>5732704.1776895858</v>
      </c>
      <c r="T127" s="280">
        <v>28030061.872640446</v>
      </c>
      <c r="U127" s="280">
        <v>37003029.703046009</v>
      </c>
      <c r="V127" s="280">
        <v>3427457.8729596944</v>
      </c>
      <c r="W127" s="280">
        <v>494995.59537317575</v>
      </c>
      <c r="X127" s="280">
        <v>1674179.8169695577</v>
      </c>
      <c r="Y127" s="280">
        <v>1153502.4601876894</v>
      </c>
      <c r="Z127" s="280">
        <v>35239212.894972891</v>
      </c>
      <c r="AA127" s="280">
        <v>13471404.481057573</v>
      </c>
      <c r="AB127" s="280">
        <v>3791796.9630827904</v>
      </c>
      <c r="AC127" s="280">
        <v>1475201.992551455</v>
      </c>
      <c r="AD127" s="280">
        <v>8108639.2985613253</v>
      </c>
      <c r="AE127" s="280">
        <v>172765.25631822078</v>
      </c>
      <c r="AF127" s="280">
        <v>9248274.224795714</v>
      </c>
      <c r="AG127" s="280">
        <v>1293927052.0624077</v>
      </c>
    </row>
    <row r="128" spans="1:33" x14ac:dyDescent="0.35">
      <c r="A128" s="279" t="s">
        <v>335</v>
      </c>
      <c r="B128" s="279" t="s">
        <v>439</v>
      </c>
      <c r="C128" s="280">
        <v>508663463.52274567</v>
      </c>
      <c r="D128" s="280">
        <v>79952067.060350478</v>
      </c>
      <c r="E128" s="280">
        <v>1146787.680384563</v>
      </c>
      <c r="F128" s="280">
        <v>7353244.3474574862</v>
      </c>
      <c r="G128" s="280">
        <v>5678329.8278177092</v>
      </c>
      <c r="H128" s="280">
        <v>181274.23813993312</v>
      </c>
      <c r="I128" s="280">
        <v>315464289.44205225</v>
      </c>
      <c r="J128" s="280">
        <v>53991281.873008125</v>
      </c>
      <c r="K128" s="280">
        <v>19849699.663098764</v>
      </c>
      <c r="L128" s="280">
        <v>259168.06182463845</v>
      </c>
      <c r="M128" s="280">
        <v>6536583.1800514609</v>
      </c>
      <c r="N128" s="280">
        <v>66875.47360768709</v>
      </c>
      <c r="O128" s="280">
        <v>37117518.461162172</v>
      </c>
      <c r="P128" s="280">
        <v>656460.35596882354</v>
      </c>
      <c r="Q128" s="280">
        <v>4849544.1845842935</v>
      </c>
      <c r="R128" s="280">
        <v>400008.22981753352</v>
      </c>
      <c r="S128" s="280">
        <v>5729942.8672535149</v>
      </c>
      <c r="T128" s="280">
        <v>26787121.736121636</v>
      </c>
      <c r="U128" s="280">
        <v>35297563.715841614</v>
      </c>
      <c r="V128" s="280">
        <v>3589889.7605311582</v>
      </c>
      <c r="W128" s="280">
        <v>490322.21514314465</v>
      </c>
      <c r="X128" s="280">
        <v>749045.95256697794</v>
      </c>
      <c r="Y128" s="280">
        <v>710541.73057492718</v>
      </c>
      <c r="Z128" s="280">
        <v>34206766.803410299</v>
      </c>
      <c r="AA128" s="280">
        <v>7170364.9418556998</v>
      </c>
      <c r="AB128" s="280">
        <v>3137754.5224352917</v>
      </c>
      <c r="AC128" s="280">
        <v>1580670.9442676879</v>
      </c>
      <c r="AD128" s="280">
        <v>16168025.695982305</v>
      </c>
      <c r="AE128" s="280">
        <v>172679.63892996003</v>
      </c>
      <c r="AF128" s="280">
        <v>9250365.1569880992</v>
      </c>
      <c r="AG128" s="280">
        <v>1187207651.2839735</v>
      </c>
    </row>
    <row r="129" spans="1:33" x14ac:dyDescent="0.35">
      <c r="A129" s="279" t="s">
        <v>335</v>
      </c>
      <c r="B129" s="279" t="s">
        <v>440</v>
      </c>
      <c r="C129" s="280">
        <v>576954553.36331964</v>
      </c>
      <c r="D129" s="280">
        <v>72246742.49081111</v>
      </c>
      <c r="E129" s="280">
        <v>1042118.9757298337</v>
      </c>
      <c r="F129" s="280">
        <v>7835671.8789573833</v>
      </c>
      <c r="G129" s="280">
        <v>4960202.9564116765</v>
      </c>
      <c r="H129" s="280">
        <v>181218.60606855078</v>
      </c>
      <c r="I129" s="280">
        <v>327700943.12552607</v>
      </c>
      <c r="J129" s="280">
        <v>55839160.696415804</v>
      </c>
      <c r="K129" s="280">
        <v>19678862.873672102</v>
      </c>
      <c r="L129" s="280">
        <v>270812.14553871611</v>
      </c>
      <c r="M129" s="280">
        <v>6454490.2037025485</v>
      </c>
      <c r="N129" s="280">
        <v>62192.782383937578</v>
      </c>
      <c r="O129" s="280">
        <v>36911286.188751303</v>
      </c>
      <c r="P129" s="280">
        <v>640575.39942084334</v>
      </c>
      <c r="Q129" s="280">
        <v>4643145.9643120151</v>
      </c>
      <c r="R129" s="280">
        <v>2312590.0638187625</v>
      </c>
      <c r="S129" s="280">
        <v>5727183.0575281056</v>
      </c>
      <c r="T129" s="280">
        <v>26356440.350032598</v>
      </c>
      <c r="U129" s="280">
        <v>35519937.055093929</v>
      </c>
      <c r="V129" s="280">
        <v>3574606.5533595341</v>
      </c>
      <c r="W129" s="280">
        <v>569470.10754916922</v>
      </c>
      <c r="X129" s="280">
        <v>1784513.7273872057</v>
      </c>
      <c r="Y129" s="280">
        <v>823534.0772929684</v>
      </c>
      <c r="Z129" s="280">
        <v>35251020.490356207</v>
      </c>
      <c r="AA129" s="280">
        <v>4696499.3166579623</v>
      </c>
      <c r="AB129" s="280">
        <v>3248224.0282099792</v>
      </c>
      <c r="AC129" s="280">
        <v>1494211.2484457847</v>
      </c>
      <c r="AD129" s="280">
        <v>15318766.386452969</v>
      </c>
      <c r="AE129" s="280">
        <v>172594.0894409657</v>
      </c>
      <c r="AF129" s="280">
        <v>9252457.1106646508</v>
      </c>
      <c r="AG129" s="280">
        <v>1261524025.3133121</v>
      </c>
    </row>
    <row r="130" spans="1:33" x14ac:dyDescent="0.35">
      <c r="A130" s="279" t="s">
        <v>335</v>
      </c>
      <c r="B130" s="279" t="s">
        <v>441</v>
      </c>
      <c r="C130" s="280">
        <v>827070484.22356439</v>
      </c>
      <c r="D130" s="280">
        <v>61450811.044025831</v>
      </c>
      <c r="E130" s="280">
        <v>1115297.6056217405</v>
      </c>
      <c r="F130" s="280">
        <v>9421174.6342298817</v>
      </c>
      <c r="G130" s="280">
        <v>4311572.0614410648</v>
      </c>
      <c r="H130" s="280">
        <v>181163.00542715852</v>
      </c>
      <c r="I130" s="280">
        <v>353690895.40675539</v>
      </c>
      <c r="J130" s="280">
        <v>62581675.76202295</v>
      </c>
      <c r="K130" s="280">
        <v>22027922.146971364</v>
      </c>
      <c r="L130" s="280">
        <v>307451.14223305258</v>
      </c>
      <c r="M130" s="280">
        <v>6605671.384489934</v>
      </c>
      <c r="N130" s="280">
        <v>75659.541776785903</v>
      </c>
      <c r="O130" s="280">
        <v>40833049.538036451</v>
      </c>
      <c r="P130" s="280">
        <v>1149604.946355494</v>
      </c>
      <c r="Q130" s="280">
        <v>5439700.9783826629</v>
      </c>
      <c r="R130" s="280">
        <v>580112.22821037343</v>
      </c>
      <c r="S130" s="280">
        <v>5724424.7476226194</v>
      </c>
      <c r="T130" s="280">
        <v>23521557.553440589</v>
      </c>
      <c r="U130" s="280">
        <v>34245399.975268677</v>
      </c>
      <c r="V130" s="280">
        <v>3799328.3175046854</v>
      </c>
      <c r="W130" s="280">
        <v>250917.97140519123</v>
      </c>
      <c r="X130" s="280">
        <v>1552987.0135980649</v>
      </c>
      <c r="Y130" s="280">
        <v>871148.03161939653</v>
      </c>
      <c r="Z130" s="280">
        <v>36242236.953277394</v>
      </c>
      <c r="AA130" s="280">
        <v>9318560.9365615211</v>
      </c>
      <c r="AB130" s="280">
        <v>2885470.8624640778</v>
      </c>
      <c r="AC130" s="280">
        <v>1429036.186936703</v>
      </c>
      <c r="AD130" s="280">
        <v>13216012.949223986</v>
      </c>
      <c r="AE130" s="280">
        <v>172508.60778539677</v>
      </c>
      <c r="AF130" s="280">
        <v>9254550.0861881934</v>
      </c>
      <c r="AG130" s="280">
        <v>1539326385.8424411</v>
      </c>
    </row>
    <row r="131" spans="1:33" x14ac:dyDescent="0.35">
      <c r="A131" s="279" t="s">
        <v>335</v>
      </c>
      <c r="B131" s="279" t="s">
        <v>442</v>
      </c>
      <c r="C131" s="280">
        <v>1127582442.3644137</v>
      </c>
      <c r="D131" s="280">
        <v>72315110.173925251</v>
      </c>
      <c r="E131" s="280">
        <v>1286243.174308632</v>
      </c>
      <c r="F131" s="280">
        <v>11870881.088781103</v>
      </c>
      <c r="G131" s="280">
        <v>4627161.3365597343</v>
      </c>
      <c r="H131" s="280">
        <v>181107.43618582882</v>
      </c>
      <c r="I131" s="280">
        <v>394895532.30561292</v>
      </c>
      <c r="J131" s="280">
        <v>72406808.361900151</v>
      </c>
      <c r="K131" s="280">
        <v>24171627.822370462</v>
      </c>
      <c r="L131" s="280">
        <v>383217.9272456973</v>
      </c>
      <c r="M131" s="280">
        <v>8137450.6203792598</v>
      </c>
      <c r="N131" s="280">
        <v>90072.837953411581</v>
      </c>
      <c r="O131" s="280">
        <v>50589284.575452045</v>
      </c>
      <c r="P131" s="280">
        <v>785738.90538263088</v>
      </c>
      <c r="Q131" s="280">
        <v>6466003.4950611424</v>
      </c>
      <c r="R131" s="280">
        <v>507757.3868459409</v>
      </c>
      <c r="S131" s="280">
        <v>5721667.9366470492</v>
      </c>
      <c r="T131" s="280">
        <v>24796496.26186296</v>
      </c>
      <c r="U131" s="280">
        <v>38345382.349132314</v>
      </c>
      <c r="V131" s="280">
        <v>2948158.1734602135</v>
      </c>
      <c r="W131" s="280">
        <v>-399712.26522306149</v>
      </c>
      <c r="X131" s="280">
        <v>1778688.9355208918</v>
      </c>
      <c r="Y131" s="280">
        <v>1038477.1778608476</v>
      </c>
      <c r="Z131" s="280">
        <v>36520834.527015023</v>
      </c>
      <c r="AA131" s="280">
        <v>6961667.0298759229</v>
      </c>
      <c r="AB131" s="280">
        <v>2721797.1913552219</v>
      </c>
      <c r="AC131" s="280">
        <v>1562181.9637183531</v>
      </c>
      <c r="AD131" s="280">
        <v>11986640.504854392</v>
      </c>
      <c r="AE131" s="280">
        <v>172423.19389748675</v>
      </c>
      <c r="AF131" s="280">
        <v>9256644.0839242712</v>
      </c>
      <c r="AG131" s="280">
        <v>1919707786.8762794</v>
      </c>
    </row>
    <row r="132" spans="1:33" x14ac:dyDescent="0.35">
      <c r="A132" s="279" t="s">
        <v>335</v>
      </c>
      <c r="B132" s="279" t="s">
        <v>443</v>
      </c>
      <c r="C132" s="280">
        <v>1082542132.4741709</v>
      </c>
      <c r="D132" s="280">
        <v>68987504.348691642</v>
      </c>
      <c r="E132" s="280">
        <v>1093330.9932721462</v>
      </c>
      <c r="F132" s="280">
        <v>11112117.962188117</v>
      </c>
      <c r="G132" s="280">
        <v>4296251.3135187924</v>
      </c>
      <c r="H132" s="280">
        <v>181051.89831471312</v>
      </c>
      <c r="I132" s="280">
        <v>404521230.70704997</v>
      </c>
      <c r="J132" s="280">
        <v>70489608.268252686</v>
      </c>
      <c r="K132" s="280">
        <v>24925545.769155409</v>
      </c>
      <c r="L132" s="280">
        <v>336839.92706854531</v>
      </c>
      <c r="M132" s="280">
        <v>7837671.8460424356</v>
      </c>
      <c r="N132" s="280">
        <v>108661.35226913478</v>
      </c>
      <c r="O132" s="280">
        <v>46182985.336792558</v>
      </c>
      <c r="P132" s="280">
        <v>551410.36639869399</v>
      </c>
      <c r="Q132" s="280">
        <v>7126812.3558069831</v>
      </c>
      <c r="R132" s="280">
        <v>713299.67918053025</v>
      </c>
      <c r="S132" s="280">
        <v>5718912.6237127883</v>
      </c>
      <c r="T132" s="280">
        <v>25873479.140063986</v>
      </c>
      <c r="U132" s="280">
        <v>39078370.171705797</v>
      </c>
      <c r="V132" s="280">
        <v>4060782.4244827149</v>
      </c>
      <c r="W132" s="280">
        <v>1126787.8806218847</v>
      </c>
      <c r="X132" s="280">
        <v>1890097.5408618406</v>
      </c>
      <c r="Y132" s="280">
        <v>3066237.5197713058</v>
      </c>
      <c r="Z132" s="280">
        <v>40116195.137843147</v>
      </c>
      <c r="AA132" s="280">
        <v>7275817.8136810036</v>
      </c>
      <c r="AB132" s="280">
        <v>4109564.2777416846</v>
      </c>
      <c r="AC132" s="280">
        <v>1632107.3672651327</v>
      </c>
      <c r="AD132" s="280">
        <v>14136942.208874585</v>
      </c>
      <c r="AE132" s="280">
        <v>172337.84771156617</v>
      </c>
      <c r="AF132" s="280">
        <v>9258739.1042428184</v>
      </c>
      <c r="AG132" s="280">
        <v>1888522825.6567535</v>
      </c>
    </row>
    <row r="133" spans="1:33" x14ac:dyDescent="0.35">
      <c r="A133" s="279" t="s">
        <v>335</v>
      </c>
      <c r="B133" s="279" t="s">
        <v>444</v>
      </c>
      <c r="C133" s="280">
        <v>789034953.24619138</v>
      </c>
      <c r="D133" s="280">
        <v>51596229.077656344</v>
      </c>
      <c r="E133" s="280">
        <v>889603.71982962952</v>
      </c>
      <c r="F133" s="280">
        <v>8236559.3863914441</v>
      </c>
      <c r="G133" s="280">
        <v>3218242.8100551036</v>
      </c>
      <c r="H133" s="280">
        <v>180996.39178405137</v>
      </c>
      <c r="I133" s="280">
        <v>296633526.16923594</v>
      </c>
      <c r="J133" s="280">
        <v>53447122.447015561</v>
      </c>
      <c r="K133" s="280">
        <v>18972599.549314518</v>
      </c>
      <c r="L133" s="280">
        <v>276635.81810786523</v>
      </c>
      <c r="M133" s="280">
        <v>6054446.244363524</v>
      </c>
      <c r="N133" s="280">
        <v>80160.421419428778</v>
      </c>
      <c r="O133" s="280">
        <v>36813419.984988257</v>
      </c>
      <c r="P133" s="280">
        <v>449165.36624388286</v>
      </c>
      <c r="Q133" s="280">
        <v>5322847.8584606713</v>
      </c>
      <c r="R133" s="280">
        <v>500858.24900729605</v>
      </c>
      <c r="S133" s="280">
        <v>5716158.8079329627</v>
      </c>
      <c r="T133" s="280">
        <v>24494364.902917527</v>
      </c>
      <c r="U133" s="280">
        <v>34606966.562558003</v>
      </c>
      <c r="V133" s="280">
        <v>3697829.8146898472</v>
      </c>
      <c r="W133" s="280">
        <v>478720.54922960384</v>
      </c>
      <c r="X133" s="280">
        <v>1744336.5164540086</v>
      </c>
      <c r="Y133" s="280">
        <v>878989.56431516318</v>
      </c>
      <c r="Z133" s="280">
        <v>36386681.158074103</v>
      </c>
      <c r="AA133" s="280">
        <v>6359319.5899205552</v>
      </c>
      <c r="AB133" s="280">
        <v>3799836.1540929186</v>
      </c>
      <c r="AC133" s="280">
        <v>1504848.8101872306</v>
      </c>
      <c r="AD133" s="280">
        <v>13534674.372973291</v>
      </c>
      <c r="AE133" s="280">
        <v>172252.56916207456</v>
      </c>
      <c r="AF133" s="280">
        <v>9260835.1475187577</v>
      </c>
      <c r="AG133" s="280">
        <v>1414343181.2600911</v>
      </c>
    </row>
    <row r="134" spans="1:33" x14ac:dyDescent="0.35">
      <c r="A134" s="279" t="s">
        <v>335</v>
      </c>
      <c r="B134" s="279" t="s">
        <v>445</v>
      </c>
      <c r="C134" s="280">
        <v>562439317.9185636</v>
      </c>
      <c r="D134" s="280">
        <v>43564493.385719255</v>
      </c>
      <c r="E134" s="280">
        <v>766009.26872424339</v>
      </c>
      <c r="F134" s="280">
        <v>6364898.3894673344</v>
      </c>
      <c r="G134" s="280">
        <v>2881933.5986182182</v>
      </c>
      <c r="H134" s="280">
        <v>180940.91656416803</v>
      </c>
      <c r="I134" s="280">
        <v>310883717.63703328</v>
      </c>
      <c r="J134" s="280">
        <v>59305346.891741127</v>
      </c>
      <c r="K134" s="280">
        <v>19292266.755644087</v>
      </c>
      <c r="L134" s="280">
        <v>268222.63642562617</v>
      </c>
      <c r="M134" s="280">
        <v>6688745.178165081</v>
      </c>
      <c r="N134" s="280">
        <v>61939.657866472815</v>
      </c>
      <c r="O134" s="280">
        <v>40305527.071546435</v>
      </c>
      <c r="P134" s="280">
        <v>742651.67137744767</v>
      </c>
      <c r="Q134" s="280">
        <v>5254816.1062677912</v>
      </c>
      <c r="R134" s="280">
        <v>1612529.2365596422</v>
      </c>
      <c r="S134" s="280">
        <v>5713406.4884224478</v>
      </c>
      <c r="T134" s="280">
        <v>22385750.983683102</v>
      </c>
      <c r="U134" s="280">
        <v>35533794.35838376</v>
      </c>
      <c r="V134" s="280">
        <v>3271936.4766719625</v>
      </c>
      <c r="W134" s="280">
        <v>409485.3804565178</v>
      </c>
      <c r="X134" s="280">
        <v>1539794.0981280184</v>
      </c>
      <c r="Y134" s="280">
        <v>1976740.9302940492</v>
      </c>
      <c r="Z134" s="280">
        <v>36016155.071000956</v>
      </c>
      <c r="AA134" s="280">
        <v>6398727.4646830996</v>
      </c>
      <c r="AB134" s="280">
        <v>3364190.7791361613</v>
      </c>
      <c r="AC134" s="280">
        <v>1429529.8878511486</v>
      </c>
      <c r="AD134" s="280">
        <v>13902012.635376524</v>
      </c>
      <c r="AE134" s="280">
        <v>172167.35818356136</v>
      </c>
      <c r="AF134" s="280">
        <v>9262932.2141315229</v>
      </c>
      <c r="AG134" s="280">
        <v>1201989980.4466867</v>
      </c>
    </row>
    <row r="135" spans="1:33" x14ac:dyDescent="0.35">
      <c r="A135" s="279" t="s">
        <v>335</v>
      </c>
      <c r="B135" s="279" t="s">
        <v>446</v>
      </c>
      <c r="C135" s="280">
        <v>583524720.8042978</v>
      </c>
      <c r="D135" s="280">
        <v>60642212.688646786</v>
      </c>
      <c r="E135" s="280">
        <v>1035763.4042087396</v>
      </c>
      <c r="F135" s="280">
        <v>7400031.0559026292</v>
      </c>
      <c r="G135" s="280">
        <v>4203703.7248558011</v>
      </c>
      <c r="H135" s="280">
        <v>180885.47262546106</v>
      </c>
      <c r="I135" s="280">
        <v>309008051.00199294</v>
      </c>
      <c r="J135" s="280">
        <v>58112155.993158884</v>
      </c>
      <c r="K135" s="280">
        <v>20487916.407386303</v>
      </c>
      <c r="L135" s="280">
        <v>265512.00040968013</v>
      </c>
      <c r="M135" s="280">
        <v>5422636.6609564964</v>
      </c>
      <c r="N135" s="280">
        <v>54066.110162971687</v>
      </c>
      <c r="O135" s="280">
        <v>43257665.931163207</v>
      </c>
      <c r="P135" s="280">
        <v>1165277.7377607224</v>
      </c>
      <c r="Q135" s="280">
        <v>5225619.5521612037</v>
      </c>
      <c r="R135" s="280">
        <v>491708.35355172324</v>
      </c>
      <c r="S135" s="280">
        <v>5710655.664297686</v>
      </c>
      <c r="T135" s="280">
        <v>23194048.928441212</v>
      </c>
      <c r="U135" s="280">
        <v>34412696.778438225</v>
      </c>
      <c r="V135" s="280">
        <v>3306522.1405532314</v>
      </c>
      <c r="W135" s="280">
        <v>205407.93876249369</v>
      </c>
      <c r="X135" s="280">
        <v>1365794.292381834</v>
      </c>
      <c r="Y135" s="280">
        <v>1055641.1871409793</v>
      </c>
      <c r="Z135" s="280">
        <v>30488666.259999949</v>
      </c>
      <c r="AA135" s="280">
        <v>7012503.8346132319</v>
      </c>
      <c r="AB135" s="280">
        <v>2661256.1407126309</v>
      </c>
      <c r="AC135" s="280">
        <v>1204741.590733503</v>
      </c>
      <c r="AD135" s="280">
        <v>15129191.27750577</v>
      </c>
      <c r="AE135" s="280">
        <v>172082.21471068013</v>
      </c>
      <c r="AF135" s="280">
        <v>9265030.3044639826</v>
      </c>
      <c r="AG135" s="280">
        <v>1235662165.4519973</v>
      </c>
    </row>
    <row r="136" spans="1:33" x14ac:dyDescent="0.35">
      <c r="A136" s="279" t="s">
        <v>335</v>
      </c>
      <c r="B136" s="279" t="s">
        <v>447</v>
      </c>
      <c r="C136" s="280">
        <v>729882409.88666093</v>
      </c>
      <c r="D136" s="280">
        <v>104662228.05165617</v>
      </c>
      <c r="E136" s="280">
        <v>1612608.7934898725</v>
      </c>
      <c r="F136" s="280">
        <v>10305183.388427375</v>
      </c>
      <c r="G136" s="280">
        <v>7609850.9286566377</v>
      </c>
      <c r="H136" s="280">
        <v>180774.64725085016</v>
      </c>
      <c r="I136" s="280">
        <v>328087561.37358457</v>
      </c>
      <c r="J136" s="280">
        <v>61685505.905337855</v>
      </c>
      <c r="K136" s="280">
        <v>22844032.469091404</v>
      </c>
      <c r="L136" s="280">
        <v>257266.71257262456</v>
      </c>
      <c r="M136" s="280">
        <v>4423393.3580150679</v>
      </c>
      <c r="N136" s="280">
        <v>72556.229462874879</v>
      </c>
      <c r="O136" s="280">
        <v>49241292.103692003</v>
      </c>
      <c r="P136" s="280">
        <v>1277467.0646903683</v>
      </c>
      <c r="Q136" s="280">
        <v>5150483.8587722862</v>
      </c>
      <c r="R136" s="280">
        <v>284309.62369345536</v>
      </c>
      <c r="S136" s="280">
        <v>5705157.0050390428</v>
      </c>
      <c r="T136" s="280">
        <v>21653073.215540558</v>
      </c>
      <c r="U136" s="280">
        <v>34471359.383606158</v>
      </c>
      <c r="V136" s="280">
        <v>3094994.9561715373</v>
      </c>
      <c r="W136" s="280">
        <v>201639.05429145164</v>
      </c>
      <c r="X136" s="280">
        <v>1097641.4149026929</v>
      </c>
      <c r="Y136" s="280">
        <v>1038485.0954574263</v>
      </c>
      <c r="Z136" s="280">
        <v>37126729.501012035</v>
      </c>
      <c r="AA136" s="280">
        <v>8362153.7981077349</v>
      </c>
      <c r="AB136" s="280">
        <v>2988481.3030126905</v>
      </c>
      <c r="AC136" s="280">
        <v>1896920.6733748764</v>
      </c>
      <c r="AD136" s="280">
        <v>13428845.592865551</v>
      </c>
      <c r="AE136" s="280">
        <v>171912.06264512549</v>
      </c>
      <c r="AF136" s="280">
        <v>9269228.5333096497</v>
      </c>
      <c r="AG136" s="280">
        <v>1468083545.9843905</v>
      </c>
    </row>
    <row r="137" spans="1:33" x14ac:dyDescent="0.35">
      <c r="A137" s="279" t="s">
        <v>335</v>
      </c>
      <c r="B137" s="279" t="s">
        <v>448</v>
      </c>
      <c r="C137" s="280">
        <v>744230265.72975934</v>
      </c>
      <c r="D137" s="280">
        <v>123977419.69636165</v>
      </c>
      <c r="E137" s="280">
        <v>1785225.9178656796</v>
      </c>
      <c r="F137" s="280">
        <v>10938289.24201302</v>
      </c>
      <c r="G137" s="280">
        <v>8658843.673485931</v>
      </c>
      <c r="H137" s="280">
        <v>180719.2970084945</v>
      </c>
      <c r="I137" s="280">
        <v>333637527.01936865</v>
      </c>
      <c r="J137" s="280">
        <v>57212989.063432626</v>
      </c>
      <c r="K137" s="280">
        <v>22793467.905534953</v>
      </c>
      <c r="L137" s="280">
        <v>264863.97207876097</v>
      </c>
      <c r="M137" s="280">
        <v>6910406.2152807619</v>
      </c>
      <c r="N137" s="280">
        <v>92448.956649461179</v>
      </c>
      <c r="O137" s="280">
        <v>46036969.594045535</v>
      </c>
      <c r="P137" s="280">
        <v>821623.18320560839</v>
      </c>
      <c r="Q137" s="280">
        <v>5495610.9552614829</v>
      </c>
      <c r="R137" s="280">
        <v>162342.8252721485</v>
      </c>
      <c r="S137" s="280">
        <v>5702410.6626729807</v>
      </c>
      <c r="T137" s="280">
        <v>22462988.216382101</v>
      </c>
      <c r="U137" s="280">
        <v>32001710.331567559</v>
      </c>
      <c r="V137" s="280">
        <v>3206939.2232993566</v>
      </c>
      <c r="W137" s="280">
        <v>233287.35519207412</v>
      </c>
      <c r="X137" s="280">
        <v>1285130.3684005416</v>
      </c>
      <c r="Y137" s="280">
        <v>1024076.8491459201</v>
      </c>
      <c r="Z137" s="280">
        <v>32237810.132779796</v>
      </c>
      <c r="AA137" s="280">
        <v>14065804.062286489</v>
      </c>
      <c r="AB137" s="280">
        <v>3254031.3872216935</v>
      </c>
      <c r="AC137" s="280">
        <v>1574579.1548905806</v>
      </c>
      <c r="AD137" s="280">
        <v>13631581.988748917</v>
      </c>
      <c r="AE137" s="280">
        <v>171827.12136341579</v>
      </c>
      <c r="AF137" s="280">
        <v>9271329.6967647728</v>
      </c>
      <c r="AG137" s="280">
        <v>1503322519.7973402</v>
      </c>
    </row>
    <row r="138" spans="1:33" x14ac:dyDescent="0.35">
      <c r="A138" s="279" t="s">
        <v>335</v>
      </c>
      <c r="B138" s="279" t="s">
        <v>449</v>
      </c>
      <c r="C138" s="280">
        <v>617496088.54113829</v>
      </c>
      <c r="D138" s="280">
        <v>113259701.2127206</v>
      </c>
      <c r="E138" s="280">
        <v>1451020.5450718303</v>
      </c>
      <c r="F138" s="280">
        <v>9452817.4741860796</v>
      </c>
      <c r="G138" s="280">
        <v>7923482.465461053</v>
      </c>
      <c r="H138" s="280">
        <v>180663.97792924396</v>
      </c>
      <c r="I138" s="280">
        <v>315198537.19551498</v>
      </c>
      <c r="J138" s="280">
        <v>48135025.963445157</v>
      </c>
      <c r="K138" s="280">
        <v>19654211.889659528</v>
      </c>
      <c r="L138" s="280">
        <v>211616.91402757115</v>
      </c>
      <c r="M138" s="280">
        <v>5878305.6502087088</v>
      </c>
      <c r="N138" s="280">
        <v>71275.907114361602</v>
      </c>
      <c r="O138" s="280">
        <v>39820136.684149206</v>
      </c>
      <c r="P138" s="280">
        <v>1808045.1189555584</v>
      </c>
      <c r="Q138" s="280">
        <v>4804739.6985063609</v>
      </c>
      <c r="R138" s="280">
        <v>146658.28454224748</v>
      </c>
      <c r="S138" s="280">
        <v>5699665.8121662615</v>
      </c>
      <c r="T138" s="280">
        <v>23069347.290997475</v>
      </c>
      <c r="U138" s="280">
        <v>29255497.121232122</v>
      </c>
      <c r="V138" s="280">
        <v>3141376.7016299069</v>
      </c>
      <c r="W138" s="280">
        <v>482049.50519745593</v>
      </c>
      <c r="X138" s="280">
        <v>1374779.2707307131</v>
      </c>
      <c r="Y138" s="280">
        <v>946161.39553933986</v>
      </c>
      <c r="Z138" s="280">
        <v>29146742.841254305</v>
      </c>
      <c r="AA138" s="280">
        <v>11967827.989248456</v>
      </c>
      <c r="AB138" s="280">
        <v>3075798.4469130007</v>
      </c>
      <c r="AC138" s="280">
        <v>1335859.6513828957</v>
      </c>
      <c r="AD138" s="280">
        <v>13573927.541598333</v>
      </c>
      <c r="AE138" s="280">
        <v>171742.24732667572</v>
      </c>
      <c r="AF138" s="280">
        <v>9273431.885472849</v>
      </c>
      <c r="AG138" s="280">
        <v>1318006535.2233205</v>
      </c>
    </row>
    <row r="139" spans="1:33" x14ac:dyDescent="0.35">
      <c r="A139" s="279" t="s">
        <v>335</v>
      </c>
      <c r="B139" s="279" t="s">
        <v>450</v>
      </c>
      <c r="C139" s="280">
        <v>579857734.73093748</v>
      </c>
      <c r="D139" s="280">
        <v>104809939.85858014</v>
      </c>
      <c r="E139" s="280">
        <v>1527260.6101025653</v>
      </c>
      <c r="F139" s="280">
        <v>8894482.9543154016</v>
      </c>
      <c r="G139" s="280">
        <v>7184777.6271779658</v>
      </c>
      <c r="H139" s="280">
        <v>180608.68998359595</v>
      </c>
      <c r="I139" s="280">
        <v>320017838.41545087</v>
      </c>
      <c r="J139" s="280">
        <v>45233614.983075045</v>
      </c>
      <c r="K139" s="280">
        <v>17070157.278784398</v>
      </c>
      <c r="L139" s="280">
        <v>188498.49394736873</v>
      </c>
      <c r="M139" s="280">
        <v>4846873.4151803786</v>
      </c>
      <c r="N139" s="280">
        <v>58046.829242050946</v>
      </c>
      <c r="O139" s="280">
        <v>33179180.925334934</v>
      </c>
      <c r="P139" s="280">
        <v>837971.26638915041</v>
      </c>
      <c r="Q139" s="280">
        <v>3754718.5020924755</v>
      </c>
      <c r="R139" s="280">
        <v>99928.245583149517</v>
      </c>
      <c r="S139" s="280">
        <v>5696922.4526365753</v>
      </c>
      <c r="T139" s="280">
        <v>27291767.126924045</v>
      </c>
      <c r="U139" s="280">
        <v>35928026.152715459</v>
      </c>
      <c r="V139" s="280">
        <v>3319481.9749182574</v>
      </c>
      <c r="W139" s="280">
        <v>479563.2916146628</v>
      </c>
      <c r="X139" s="280">
        <v>1620760.8159411808</v>
      </c>
      <c r="Y139" s="280">
        <v>1119421.4362256241</v>
      </c>
      <c r="Z139" s="280">
        <v>34132900.68471092</v>
      </c>
      <c r="AA139" s="280">
        <v>13079533.400228519</v>
      </c>
      <c r="AB139" s="280">
        <v>3673717.0860826024</v>
      </c>
      <c r="AC139" s="280">
        <v>1428505.8642008617</v>
      </c>
      <c r="AD139" s="280">
        <v>7850370.4868693808</v>
      </c>
      <c r="AE139" s="280">
        <v>171657.44046985335</v>
      </c>
      <c r="AF139" s="280">
        <v>9275535.0998123456</v>
      </c>
      <c r="AG139" s="280">
        <v>1272809796.1395268</v>
      </c>
    </row>
    <row r="140" spans="1:33" x14ac:dyDescent="0.35">
      <c r="A140" s="279" t="s">
        <v>335</v>
      </c>
      <c r="B140" s="279" t="s">
        <v>451</v>
      </c>
      <c r="C140" s="280">
        <v>511278584.30533224</v>
      </c>
      <c r="D140" s="280">
        <v>80361472.873289555</v>
      </c>
      <c r="E140" s="280">
        <v>1152671.3231758431</v>
      </c>
      <c r="F140" s="280">
        <v>7391278.3934719609</v>
      </c>
      <c r="G140" s="280">
        <v>5707760.5776759619</v>
      </c>
      <c r="H140" s="280">
        <v>180553.43314208847</v>
      </c>
      <c r="I140" s="280">
        <v>300784000.83278799</v>
      </c>
      <c r="J140" s="280">
        <v>51479330.986752041</v>
      </c>
      <c r="K140" s="280">
        <v>18927659.308667518</v>
      </c>
      <c r="L140" s="280">
        <v>247121.05649486068</v>
      </c>
      <c r="M140" s="280">
        <v>6232740.7549694004</v>
      </c>
      <c r="N140" s="280">
        <v>63782.527037212327</v>
      </c>
      <c r="O140" s="280">
        <v>35388444.849676594</v>
      </c>
      <c r="P140" s="280">
        <v>626391.36894827313</v>
      </c>
      <c r="Q140" s="280">
        <v>4624181.3568236986</v>
      </c>
      <c r="R140" s="280">
        <v>381070.87053159892</v>
      </c>
      <c r="S140" s="280">
        <v>5694180.583202214</v>
      </c>
      <c r="T140" s="280">
        <v>26100417.265486673</v>
      </c>
      <c r="U140" s="280">
        <v>34273954.983648777</v>
      </c>
      <c r="V140" s="280">
        <v>3477274.095059874</v>
      </c>
      <c r="W140" s="280">
        <v>474970.70512305934</v>
      </c>
      <c r="X140" s="280">
        <v>725932.01611045096</v>
      </c>
      <c r="Y140" s="280">
        <v>688098.41965458496</v>
      </c>
      <c r="Z140" s="280">
        <v>33142315.799728341</v>
      </c>
      <c r="AA140" s="280">
        <v>6945467.6321279379</v>
      </c>
      <c r="AB140" s="280">
        <v>3039594.7416059719</v>
      </c>
      <c r="AC140" s="280">
        <v>1531326.6488569744</v>
      </c>
      <c r="AD140" s="280">
        <v>15660505.638220292</v>
      </c>
      <c r="AE140" s="280">
        <v>171572.70072796717</v>
      </c>
      <c r="AF140" s="280">
        <v>9277639.3401628211</v>
      </c>
      <c r="AG140" s="280">
        <v>1166030295.3884926</v>
      </c>
    </row>
    <row r="141" spans="1:33" x14ac:dyDescent="0.35">
      <c r="A141" s="279" t="s">
        <v>335</v>
      </c>
      <c r="B141" s="279" t="s">
        <v>452</v>
      </c>
      <c r="C141" s="280">
        <v>579915190.18359041</v>
      </c>
      <c r="D141" s="280">
        <v>72620973.43412061</v>
      </c>
      <c r="E141" s="280">
        <v>1047586.9496952397</v>
      </c>
      <c r="F141" s="280">
        <v>7876311.4761924734</v>
      </c>
      <c r="G141" s="280">
        <v>4986549.6775692552</v>
      </c>
      <c r="H141" s="280">
        <v>180498.20737530445</v>
      </c>
      <c r="I141" s="280">
        <v>312455964.0151909</v>
      </c>
      <c r="J141" s="280">
        <v>53243473.294290133</v>
      </c>
      <c r="K141" s="280">
        <v>18764660.643790003</v>
      </c>
      <c r="L141" s="280">
        <v>258238.96301263513</v>
      </c>
      <c r="M141" s="280">
        <v>6154823.1290131239</v>
      </c>
      <c r="N141" s="280">
        <v>59331.002230750884</v>
      </c>
      <c r="O141" s="280">
        <v>35194841.017020367</v>
      </c>
      <c r="P141" s="280">
        <v>610165.04032877507</v>
      </c>
      <c r="Q141" s="280">
        <v>4427606.172887221</v>
      </c>
      <c r="R141" s="280">
        <v>2203308.1755956765</v>
      </c>
      <c r="S141" s="280">
        <v>5691440.2029822087</v>
      </c>
      <c r="T141" s="280">
        <v>25695394.133005165</v>
      </c>
      <c r="U141" s="280">
        <v>34492226.057057902</v>
      </c>
      <c r="V141" s="280">
        <v>3461716.081356118</v>
      </c>
      <c r="W141" s="280">
        <v>551505.10143557494</v>
      </c>
      <c r="X141" s="280">
        <v>1728228.4415672864</v>
      </c>
      <c r="Y141" s="280">
        <v>797653.65006400272</v>
      </c>
      <c r="Z141" s="280">
        <v>34146276.166363232</v>
      </c>
      <c r="AA141" s="280">
        <v>4548009.6593381651</v>
      </c>
      <c r="AB141" s="280">
        <v>3146686.1126293452</v>
      </c>
      <c r="AC141" s="280">
        <v>1447257.8321146858</v>
      </c>
      <c r="AD141" s="280">
        <v>14830889.702388421</v>
      </c>
      <c r="AE141" s="280">
        <v>171488.02803611057</v>
      </c>
      <c r="AF141" s="280">
        <v>9279744.6069052722</v>
      </c>
      <c r="AG141" s="280">
        <v>1239988037.1571467</v>
      </c>
    </row>
    <row r="142" spans="1:33" x14ac:dyDescent="0.35">
      <c r="A142" s="279" t="s">
        <v>335</v>
      </c>
      <c r="B142" s="279" t="s">
        <v>453</v>
      </c>
      <c r="C142" s="280">
        <v>831313515.19440138</v>
      </c>
      <c r="D142" s="280">
        <v>61772016.435763374</v>
      </c>
      <c r="E142" s="280">
        <v>1121085.8427633438</v>
      </c>
      <c r="F142" s="280">
        <v>9470098.9970350303</v>
      </c>
      <c r="G142" s="280">
        <v>4334388.7184292823</v>
      </c>
      <c r="H142" s="280">
        <v>180443.01265387388</v>
      </c>
      <c r="I142" s="280">
        <v>337256597.2397185</v>
      </c>
      <c r="J142" s="280">
        <v>59672086.337397657</v>
      </c>
      <c r="K142" s="280">
        <v>21004241.182860672</v>
      </c>
      <c r="L142" s="280">
        <v>293157.87639817357</v>
      </c>
      <c r="M142" s="280">
        <v>6298576.681797957</v>
      </c>
      <c r="N142" s="280">
        <v>72149.642404298123</v>
      </c>
      <c r="O142" s="280">
        <v>38932235.158319458</v>
      </c>
      <c r="P142" s="280">
        <v>1097629.6060106284</v>
      </c>
      <c r="Q142" s="280">
        <v>5186716.3677966641</v>
      </c>
      <c r="R142" s="280">
        <v>552508.77163141535</v>
      </c>
      <c r="S142" s="280">
        <v>5688701.3110964028</v>
      </c>
      <c r="T142" s="280">
        <v>22938365.428039785</v>
      </c>
      <c r="U142" s="280">
        <v>33255880.691207614</v>
      </c>
      <c r="V142" s="280">
        <v>3679753.065785564</v>
      </c>
      <c r="W142" s="280">
        <v>243209.44746120623</v>
      </c>
      <c r="X142" s="280">
        <v>1504655.0667774768</v>
      </c>
      <c r="Y142" s="280">
        <v>843807.38253844867</v>
      </c>
      <c r="Z142" s="280">
        <v>35106722.583862811</v>
      </c>
      <c r="AA142" s="280">
        <v>9026653.6876443364</v>
      </c>
      <c r="AB142" s="280">
        <v>2795339.2702708645</v>
      </c>
      <c r="AC142" s="280">
        <v>1384362.0361035028</v>
      </c>
      <c r="AD142" s="280">
        <v>12800939.065338708</v>
      </c>
      <c r="AE142" s="280">
        <v>171403.42232945433</v>
      </c>
      <c r="AF142" s="280">
        <v>9281850.9004221782</v>
      </c>
      <c r="AG142" s="280">
        <v>1517279090.4242597</v>
      </c>
    </row>
    <row r="143" spans="1:33" x14ac:dyDescent="0.35">
      <c r="A143" s="279" t="s">
        <v>335</v>
      </c>
      <c r="B143" s="279" t="s">
        <v>454</v>
      </c>
      <c r="C143" s="280">
        <v>1133375094.9582107</v>
      </c>
      <c r="D143" s="280">
        <v>72686543.672149092</v>
      </c>
      <c r="E143" s="280">
        <v>1292852.4521083026</v>
      </c>
      <c r="F143" s="280">
        <v>11932291.728261333</v>
      </c>
      <c r="G143" s="280">
        <v>4651271.9580122456</v>
      </c>
      <c r="H143" s="280">
        <v>180387.84894847282</v>
      </c>
      <c r="I143" s="280">
        <v>376573097.43416291</v>
      </c>
      <c r="J143" s="280">
        <v>69040053.817152038</v>
      </c>
      <c r="K143" s="280">
        <v>23051486.552537035</v>
      </c>
      <c r="L143" s="280">
        <v>365423.19295164058</v>
      </c>
      <c r="M143" s="280">
        <v>7759587.8918232024</v>
      </c>
      <c r="N143" s="280">
        <v>85912.737619054198</v>
      </c>
      <c r="O143" s="280">
        <v>48234483.936018549</v>
      </c>
      <c r="P143" s="280">
        <v>749830.71263881458</v>
      </c>
      <c r="Q143" s="280">
        <v>6165791.3141031126</v>
      </c>
      <c r="R143" s="280">
        <v>484678.53128560528</v>
      </c>
      <c r="S143" s="280">
        <v>5685963.9066654481</v>
      </c>
      <c r="T143" s="280">
        <v>24177694.742053483</v>
      </c>
      <c r="U143" s="280">
        <v>37225267.581377007</v>
      </c>
      <c r="V143" s="280">
        <v>2855845.4431837657</v>
      </c>
      <c r="W143" s="280">
        <v>-386650.51304724975</v>
      </c>
      <c r="X143" s="280">
        <v>1722918.1827032368</v>
      </c>
      <c r="Y143" s="280">
        <v>1005977.0241767007</v>
      </c>
      <c r="Z143" s="280">
        <v>35374209.46096608</v>
      </c>
      <c r="AA143" s="280">
        <v>6742315.2251387099</v>
      </c>
      <c r="AB143" s="280">
        <v>2637485.6450663814</v>
      </c>
      <c r="AC143" s="280">
        <v>1513241.8661690543</v>
      </c>
      <c r="AD143" s="280">
        <v>11612018.462494526</v>
      </c>
      <c r="AE143" s="280">
        <v>171318.88354324669</v>
      </c>
      <c r="AF143" s="280">
        <v>9283958.221097447</v>
      </c>
      <c r="AG143" s="280">
        <v>1896250352.8695703</v>
      </c>
    </row>
    <row r="144" spans="1:33" x14ac:dyDescent="0.35">
      <c r="A144" s="279" t="s">
        <v>335</v>
      </c>
      <c r="B144" s="279" t="s">
        <v>455</v>
      </c>
      <c r="C144" s="280">
        <v>1088103950.6203539</v>
      </c>
      <c r="D144" s="280">
        <v>69341294.437096179</v>
      </c>
      <c r="E144" s="280">
        <v>1099032.3459452994</v>
      </c>
      <c r="F144" s="280">
        <v>11169600.210564068</v>
      </c>
      <c r="G144" s="280">
        <v>4318647.9016691381</v>
      </c>
      <c r="H144" s="280">
        <v>180332.71622982059</v>
      </c>
      <c r="I144" s="280">
        <v>385746362.37500441</v>
      </c>
      <c r="J144" s="280">
        <v>67216257.285364106</v>
      </c>
      <c r="K144" s="280">
        <v>23768836.154305469</v>
      </c>
      <c r="L144" s="280">
        <v>321201.34396683221</v>
      </c>
      <c r="M144" s="280">
        <v>7473789.560604969</v>
      </c>
      <c r="N144" s="280">
        <v>103620.33844815537</v>
      </c>
      <c r="O144" s="280">
        <v>44037025.125093527</v>
      </c>
      <c r="P144" s="280">
        <v>526242.84982709039</v>
      </c>
      <c r="Q144" s="280">
        <v>6796514.5333801582</v>
      </c>
      <c r="R144" s="280">
        <v>680529.3983148695</v>
      </c>
      <c r="S144" s="280">
        <v>5683227.9888107749</v>
      </c>
      <c r="T144" s="280">
        <v>25217195.75444347</v>
      </c>
      <c r="U144" s="280">
        <v>37943148.54689692</v>
      </c>
      <c r="V144" s="280">
        <v>3934283.0587109192</v>
      </c>
      <c r="W144" s="280">
        <v>1091596.1536241274</v>
      </c>
      <c r="X144" s="280">
        <v>1831510.2881346485</v>
      </c>
      <c r="Y144" s="280">
        <v>2969942.2321416144</v>
      </c>
      <c r="Z144" s="280">
        <v>38869403.032899417</v>
      </c>
      <c r="AA144" s="280">
        <v>7049901.8203324499</v>
      </c>
      <c r="AB144" s="280">
        <v>3981640.4579776619</v>
      </c>
      <c r="AC144" s="280">
        <v>1581474.1133729741</v>
      </c>
      <c r="AD144" s="280">
        <v>13700689.437348697</v>
      </c>
      <c r="AE144" s="280">
        <v>171234.41161281188</v>
      </c>
      <c r="AF144" s="280">
        <v>9286066.5693161692</v>
      </c>
      <c r="AG144" s="280">
        <v>1864194551.0617907</v>
      </c>
    </row>
    <row r="145" spans="1:33" x14ac:dyDescent="0.35">
      <c r="A145" s="279" t="s">
        <v>335</v>
      </c>
      <c r="B145" s="279" t="s">
        <v>456</v>
      </c>
      <c r="C145" s="280">
        <v>793088204.914361</v>
      </c>
      <c r="D145" s="280">
        <v>51861936.955949463</v>
      </c>
      <c r="E145" s="280">
        <v>894219.22446868184</v>
      </c>
      <c r="F145" s="280">
        <v>8279161.2443909263</v>
      </c>
      <c r="G145" s="280">
        <v>3234984.2617412382</v>
      </c>
      <c r="H145" s="280">
        <v>180277.61446867647</v>
      </c>
      <c r="I145" s="280">
        <v>282821294.93222338</v>
      </c>
      <c r="J145" s="280">
        <v>50959171.544565663</v>
      </c>
      <c r="K145" s="280">
        <v>18090390.048105288</v>
      </c>
      <c r="L145" s="280">
        <v>263757.21071072348</v>
      </c>
      <c r="M145" s="280">
        <v>5772585.2882459247</v>
      </c>
      <c r="N145" s="280">
        <v>76409.430582899993</v>
      </c>
      <c r="O145" s="280">
        <v>35098964.121012144</v>
      </c>
      <c r="P145" s="280">
        <v>428678.40717634471</v>
      </c>
      <c r="Q145" s="280">
        <v>5075117.5584788853</v>
      </c>
      <c r="R145" s="280">
        <v>477997.78654467879</v>
      </c>
      <c r="S145" s="280">
        <v>5680493.5566544952</v>
      </c>
      <c r="T145" s="280">
        <v>23884553.887993015</v>
      </c>
      <c r="U145" s="280">
        <v>33606100.059500009</v>
      </c>
      <c r="V145" s="280">
        <v>3581506.7637665658</v>
      </c>
      <c r="W145" s="280">
        <v>463769.86948069354</v>
      </c>
      <c r="X145" s="280">
        <v>1689546.4428595039</v>
      </c>
      <c r="Y145" s="280">
        <v>851450.57838875591</v>
      </c>
      <c r="Z145" s="280">
        <v>35244844.66914098</v>
      </c>
      <c r="AA145" s="280">
        <v>6159898.5354648596</v>
      </c>
      <c r="AB145" s="280">
        <v>3680357.670281773</v>
      </c>
      <c r="AC145" s="280">
        <v>1457640.9627827185</v>
      </c>
      <c r="AD145" s="280">
        <v>13109402.909254434</v>
      </c>
      <c r="AE145" s="280">
        <v>171150.00647354734</v>
      </c>
      <c r="AF145" s="280">
        <v>9288175.9454642721</v>
      </c>
      <c r="AG145" s="280">
        <v>1395472042.4005315</v>
      </c>
    </row>
    <row r="146" spans="1:33" x14ac:dyDescent="0.35">
      <c r="A146" s="279" t="s">
        <v>335</v>
      </c>
      <c r="B146" s="279" t="s">
        <v>457</v>
      </c>
      <c r="C146" s="280">
        <v>565328294.47920334</v>
      </c>
      <c r="D146" s="280">
        <v>43789207.030994788</v>
      </c>
      <c r="E146" s="280">
        <v>769923.11537422112</v>
      </c>
      <c r="F146" s="280">
        <v>6397925.0563172372</v>
      </c>
      <c r="G146" s="280">
        <v>2897091.8688452155</v>
      </c>
      <c r="H146" s="280">
        <v>180222.54363583529</v>
      </c>
      <c r="I146" s="280">
        <v>296421130.45123124</v>
      </c>
      <c r="J146" s="280">
        <v>56544363.938817598</v>
      </c>
      <c r="K146" s="280">
        <v>18397185.957839429</v>
      </c>
      <c r="L146" s="280">
        <v>255750.68952419414</v>
      </c>
      <c r="M146" s="280">
        <v>6377728.6442476837</v>
      </c>
      <c r="N146" s="280">
        <v>59057.088556509429</v>
      </c>
      <c r="O146" s="280">
        <v>38426542.607787684</v>
      </c>
      <c r="P146" s="280">
        <v>708195.27156987146</v>
      </c>
      <c r="Q146" s="280">
        <v>5010794.8226607628</v>
      </c>
      <c r="R146" s="280">
        <v>1538562.050786505</v>
      </c>
      <c r="S146" s="280">
        <v>5677760.6093193255</v>
      </c>
      <c r="T146" s="280">
        <v>21839278.19079306</v>
      </c>
      <c r="U146" s="280">
        <v>34501662.761502489</v>
      </c>
      <c r="V146" s="280">
        <v>3169653.7678975393</v>
      </c>
      <c r="W146" s="280">
        <v>396977.97726329986</v>
      </c>
      <c r="X146" s="280">
        <v>1491654.9086493051</v>
      </c>
      <c r="Y146" s="280">
        <v>1914461.3273162725</v>
      </c>
      <c r="Z146" s="280">
        <v>34886160.664630055</v>
      </c>
      <c r="AA146" s="280">
        <v>6198778.9786533779</v>
      </c>
      <c r="AB146" s="280">
        <v>3258222.0486695035</v>
      </c>
      <c r="AC146" s="280">
        <v>1384871.4528371531</v>
      </c>
      <c r="AD146" s="280">
        <v>13465953.922637733</v>
      </c>
      <c r="AE146" s="280">
        <v>171065.66806092055</v>
      </c>
      <c r="AF146" s="280">
        <v>9290286.349928217</v>
      </c>
      <c r="AG146" s="280">
        <v>1180748764.2455504</v>
      </c>
    </row>
    <row r="147" spans="1:33" x14ac:dyDescent="0.35">
      <c r="A147" s="279" t="s">
        <v>335</v>
      </c>
      <c r="B147" s="279" t="s">
        <v>458</v>
      </c>
      <c r="C147" s="280">
        <v>586522598.96150112</v>
      </c>
      <c r="D147" s="280">
        <v>60953836.413934268</v>
      </c>
      <c r="E147" s="280">
        <v>1041141.6652146907</v>
      </c>
      <c r="F147" s="280">
        <v>7438309.6214171452</v>
      </c>
      <c r="G147" s="280">
        <v>4225848.1423162315</v>
      </c>
      <c r="H147" s="280">
        <v>180167.50370212481</v>
      </c>
      <c r="I147" s="280">
        <v>294639132.31441265</v>
      </c>
      <c r="J147" s="280">
        <v>55403896.907916464</v>
      </c>
      <c r="K147" s="280">
        <v>19536448.330925215</v>
      </c>
      <c r="L147" s="280">
        <v>253145.94090186589</v>
      </c>
      <c r="M147" s="280">
        <v>5170080.6652381252</v>
      </c>
      <c r="N147" s="280">
        <v>51547.850213750309</v>
      </c>
      <c r="O147" s="280">
        <v>41239828.434418879</v>
      </c>
      <c r="P147" s="280">
        <v>1110950.054900212</v>
      </c>
      <c r="Q147" s="280">
        <v>4983105.4632763891</v>
      </c>
      <c r="R147" s="280">
        <v>468699.37525694747</v>
      </c>
      <c r="S147" s="280">
        <v>5675029.1459284993</v>
      </c>
      <c r="T147" s="280">
        <v>22625526.517988026</v>
      </c>
      <c r="U147" s="280">
        <v>33413590.718179587</v>
      </c>
      <c r="V147" s="280">
        <v>3201540.1776868906</v>
      </c>
      <c r="W147" s="280">
        <v>199342.37937087475</v>
      </c>
      <c r="X147" s="280">
        <v>1322477.3283526357</v>
      </c>
      <c r="Y147" s="280">
        <v>1022110.5259997891</v>
      </c>
      <c r="Z147" s="280">
        <v>29526983.31756933</v>
      </c>
      <c r="AA147" s="280">
        <v>6790359.0348834116</v>
      </c>
      <c r="AB147" s="280">
        <v>2577382.744041339</v>
      </c>
      <c r="AC147" s="280">
        <v>1167018.1237442787</v>
      </c>
      <c r="AD147" s="280">
        <v>14651996.8232325</v>
      </c>
      <c r="AE147" s="280">
        <v>170981.39631046652</v>
      </c>
      <c r="AF147" s="280">
        <v>9292397.7830947842</v>
      </c>
      <c r="AG147" s="280">
        <v>1214855473.6619289</v>
      </c>
    </row>
    <row r="148" spans="1:33" x14ac:dyDescent="0.35">
      <c r="A148" s="279" t="s">
        <v>335</v>
      </c>
      <c r="B148" s="279" t="s">
        <v>459</v>
      </c>
      <c r="C148" s="280">
        <v>733636432.50423682</v>
      </c>
      <c r="D148" s="280">
        <v>105196233.2907861</v>
      </c>
      <c r="E148" s="280">
        <v>1620908.7459883392</v>
      </c>
      <c r="F148" s="280">
        <v>10358305.38489625</v>
      </c>
      <c r="G148" s="280">
        <v>7648949.8413562104</v>
      </c>
      <c r="H148" s="280">
        <v>180057.48557481932</v>
      </c>
      <c r="I148" s="280">
        <v>312846748.65646774</v>
      </c>
      <c r="J148" s="280">
        <v>58812104.777366161</v>
      </c>
      <c r="K148" s="280">
        <v>21781710.211477429</v>
      </c>
      <c r="L148" s="280">
        <v>245272.60844646825</v>
      </c>
      <c r="M148" s="280">
        <v>4217169.0859495411</v>
      </c>
      <c r="N148" s="280">
        <v>69167.215817252785</v>
      </c>
      <c r="O148" s="280">
        <v>46945343.782616429</v>
      </c>
      <c r="P148" s="280">
        <v>1217802.1893840844</v>
      </c>
      <c r="Q148" s="280">
        <v>4911253.8286110787</v>
      </c>
      <c r="R148" s="280">
        <v>270998.37199550285</v>
      </c>
      <c r="S148" s="280">
        <v>5669569.185285802</v>
      </c>
      <c r="T148" s="280">
        <v>21138145.452010788</v>
      </c>
      <c r="U148" s="280">
        <v>33474283.013100859</v>
      </c>
      <c r="V148" s="280">
        <v>2998019.0317954742</v>
      </c>
      <c r="W148" s="280">
        <v>195730.91291311278</v>
      </c>
      <c r="X148" s="280">
        <v>1063534.9500595503</v>
      </c>
      <c r="Y148" s="280">
        <v>1005707.8256014998</v>
      </c>
      <c r="Z148" s="280">
        <v>35957918.926530719</v>
      </c>
      <c r="AA148" s="280">
        <v>8094627.4011839796</v>
      </c>
      <c r="AB148" s="280">
        <v>2894412.4596013762</v>
      </c>
      <c r="AC148" s="280">
        <v>1837366.8037152919</v>
      </c>
      <c r="AD148" s="280">
        <v>13005690.100207515</v>
      </c>
      <c r="AE148" s="280">
        <v>170812.98600520051</v>
      </c>
      <c r="AF148" s="280">
        <v>9296622.7076190561</v>
      </c>
      <c r="AG148" s="280">
        <v>1446760899.7366009</v>
      </c>
    </row>
    <row r="149" spans="1:33" x14ac:dyDescent="0.35">
      <c r="E149"/>
      <c r="F149"/>
      <c r="G149"/>
      <c r="H149"/>
    </row>
    <row r="150" spans="1:33" x14ac:dyDescent="0.35">
      <c r="E150"/>
      <c r="F150"/>
      <c r="G150"/>
      <c r="H150"/>
    </row>
    <row r="151" spans="1:33" x14ac:dyDescent="0.35">
      <c r="E151"/>
      <c r="F151"/>
      <c r="G151"/>
      <c r="H151"/>
    </row>
    <row r="152" spans="1:33" x14ac:dyDescent="0.35">
      <c r="E152"/>
      <c r="F152"/>
      <c r="G152"/>
      <c r="H152"/>
    </row>
    <row r="153" spans="1:33" x14ac:dyDescent="0.35">
      <c r="E153"/>
      <c r="F153"/>
      <c r="G153"/>
      <c r="H153"/>
    </row>
    <row r="154" spans="1:33" x14ac:dyDescent="0.35">
      <c r="E154"/>
      <c r="F154"/>
      <c r="G154"/>
      <c r="H154"/>
    </row>
    <row r="155" spans="1:33" x14ac:dyDescent="0.35">
      <c r="E155"/>
      <c r="F155"/>
      <c r="G155"/>
      <c r="H155"/>
    </row>
    <row r="156" spans="1:33" x14ac:dyDescent="0.35">
      <c r="E156"/>
      <c r="F156"/>
      <c r="G156"/>
      <c r="H156"/>
    </row>
    <row r="157" spans="1:33" x14ac:dyDescent="0.35">
      <c r="E157"/>
      <c r="F157"/>
      <c r="G157"/>
      <c r="H157"/>
    </row>
    <row r="158" spans="1:33" x14ac:dyDescent="0.35">
      <c r="E158"/>
      <c r="F158"/>
      <c r="G158"/>
      <c r="H158"/>
    </row>
    <row r="159" spans="1:33" x14ac:dyDescent="0.35">
      <c r="E159"/>
      <c r="F159"/>
      <c r="G159"/>
      <c r="H159"/>
    </row>
    <row r="160" spans="1:33" x14ac:dyDescent="0.35">
      <c r="E160"/>
      <c r="F160"/>
      <c r="G160"/>
      <c r="H160"/>
    </row>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sheetData>
  <mergeCells count="6">
    <mergeCell ref="AG6:AG7"/>
    <mergeCell ref="A6:A7"/>
    <mergeCell ref="B6:B7"/>
    <mergeCell ref="C6:H6"/>
    <mergeCell ref="I6:S6"/>
    <mergeCell ref="T6:AE6"/>
  </mergeCells>
  <pageMargins left="0.7" right="0.7" top="0.75" bottom="0.75" header="0.3" footer="0.3"/>
  <pageSetup orientation="portrait" horizontalDpi="4294967293" verticalDpi="4294967293"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F8E11-FEA0-4C25-B9C9-F69AB2D8388F}">
  <sheetPr codeName="Sheet16">
    <tabColor rgb="FFFF0000"/>
  </sheetPr>
  <dimension ref="A1:AK361"/>
  <sheetViews>
    <sheetView zoomScale="80" zoomScaleNormal="80" workbookViewId="0">
      <selection activeCell="A7" sqref="A7"/>
    </sheetView>
  </sheetViews>
  <sheetFormatPr defaultRowHeight="14.5" x14ac:dyDescent="0.35"/>
  <cols>
    <col min="1" max="1" width="12.81640625" customWidth="1"/>
    <col min="2" max="2" width="13.7265625" customWidth="1"/>
    <col min="3" max="3" width="15.26953125" customWidth="1"/>
    <col min="4" max="4" width="16" customWidth="1"/>
    <col min="5" max="5" width="16.26953125" customWidth="1"/>
    <col min="6" max="6" width="16.7265625" customWidth="1"/>
    <col min="7" max="7" width="14.26953125" customWidth="1"/>
    <col min="8" max="9" width="15.1796875" customWidth="1"/>
    <col min="10" max="10" width="14.7265625" customWidth="1"/>
    <col min="11" max="11" width="14.26953125" style="2" customWidth="1"/>
    <col min="12" max="13" width="15.453125" bestFit="1" customWidth="1"/>
    <col min="14" max="15" width="15.7265625" customWidth="1"/>
    <col min="16" max="16" width="17" style="2" customWidth="1"/>
    <col min="17" max="17" width="14.26953125" style="2" customWidth="1"/>
    <col min="18" max="18" width="15.26953125" style="2" customWidth="1"/>
    <col min="19" max="19" width="14.7265625" style="2" customWidth="1"/>
    <col min="20" max="20" width="15.453125" style="2" bestFit="1" customWidth="1"/>
    <col min="21" max="21" width="9.1796875" style="2"/>
    <col min="22" max="22" width="12.26953125" style="2" bestFit="1" customWidth="1"/>
    <col min="23" max="23" width="15.7265625" style="2" customWidth="1"/>
    <col min="26" max="27" width="14.453125" bestFit="1" customWidth="1"/>
    <col min="32" max="32" width="12.54296875" bestFit="1" customWidth="1"/>
    <col min="33" max="34" width="13.453125" bestFit="1" customWidth="1"/>
    <col min="35" max="35" width="16" bestFit="1" customWidth="1"/>
    <col min="36" max="37" width="13.453125" bestFit="1" customWidth="1"/>
  </cols>
  <sheetData>
    <row r="1" spans="1:37" ht="15.5" x14ac:dyDescent="0.35">
      <c r="M1" s="19"/>
    </row>
    <row r="2" spans="1:37" ht="18.5" x14ac:dyDescent="0.45">
      <c r="A2" s="57" t="s">
        <v>473</v>
      </c>
      <c r="G2" s="13"/>
      <c r="M2" s="8"/>
      <c r="O2" s="54"/>
      <c r="S2" s="58"/>
    </row>
    <row r="3" spans="1:37" ht="18.5" x14ac:dyDescent="0.45">
      <c r="A3" s="57" t="s">
        <v>475</v>
      </c>
      <c r="G3" s="14"/>
      <c r="H3" s="13"/>
      <c r="I3" s="13"/>
      <c r="O3" s="59"/>
      <c r="S3" s="60"/>
    </row>
    <row r="4" spans="1:37" ht="18.5" x14ac:dyDescent="0.45">
      <c r="A4" s="57" t="s">
        <v>590</v>
      </c>
      <c r="G4" s="14"/>
      <c r="H4" s="13"/>
      <c r="I4" s="13"/>
      <c r="K4" s="61"/>
      <c r="O4" s="8"/>
      <c r="S4" s="62"/>
    </row>
    <row r="5" spans="1:37" ht="19" thickBot="1" x14ac:dyDescent="0.5">
      <c r="A5" s="57" t="s">
        <v>591</v>
      </c>
      <c r="K5" s="61"/>
      <c r="O5" s="8"/>
      <c r="P5" s="62"/>
      <c r="Q5" s="62"/>
      <c r="R5" s="62"/>
      <c r="S5" s="62"/>
      <c r="T5" s="63"/>
    </row>
    <row r="6" spans="1:37" ht="15.5" x14ac:dyDescent="0.35">
      <c r="A6" s="282" t="s">
        <v>592</v>
      </c>
      <c r="B6" s="283"/>
      <c r="C6" s="284"/>
      <c r="D6" s="285" t="s">
        <v>497</v>
      </c>
      <c r="E6" s="286">
        <v>10</v>
      </c>
      <c r="G6" s="13"/>
      <c r="H6" s="13"/>
      <c r="I6" s="13"/>
      <c r="K6" s="61"/>
      <c r="O6" s="64"/>
      <c r="P6" s="62"/>
      <c r="Q6" s="62"/>
      <c r="R6" s="62"/>
      <c r="AF6" s="8"/>
      <c r="AG6" s="12"/>
      <c r="AH6" s="12"/>
      <c r="AI6" s="12"/>
      <c r="AJ6" s="12"/>
      <c r="AK6" s="12"/>
    </row>
    <row r="7" spans="1:37" ht="15.5" x14ac:dyDescent="0.35">
      <c r="A7" s="65" t="s">
        <v>593</v>
      </c>
      <c r="B7" s="65"/>
      <c r="D7" s="66"/>
      <c r="E7" s="126">
        <v>7.7812216821069235E-3</v>
      </c>
      <c r="G7" s="12"/>
      <c r="H7" s="14"/>
      <c r="I7" s="14"/>
      <c r="K7" s="61"/>
      <c r="O7" s="13"/>
      <c r="P7" s="62"/>
      <c r="Q7" s="62"/>
      <c r="R7" s="62"/>
      <c r="AF7" s="8"/>
      <c r="AG7" s="12"/>
      <c r="AH7" s="12"/>
      <c r="AI7" s="12"/>
      <c r="AJ7" s="12"/>
      <c r="AK7" s="12"/>
    </row>
    <row r="8" spans="1:37" ht="16.5" customHeight="1" thickBot="1" x14ac:dyDescent="0.4">
      <c r="A8" s="68" t="s">
        <v>594</v>
      </c>
      <c r="B8" s="68"/>
      <c r="C8" s="69"/>
      <c r="D8" s="70"/>
      <c r="E8" s="125">
        <v>0.28110000000000002</v>
      </c>
      <c r="H8" s="14"/>
      <c r="P8" s="62"/>
      <c r="Q8" s="62"/>
      <c r="R8" s="62"/>
      <c r="AF8" s="8"/>
      <c r="AG8" s="12"/>
      <c r="AH8" s="12"/>
      <c r="AI8" s="12"/>
      <c r="AJ8" s="12"/>
      <c r="AK8" s="12"/>
    </row>
    <row r="9" spans="1:37" ht="15.5" x14ac:dyDescent="0.35">
      <c r="A9" s="4"/>
      <c r="B9" s="39" t="s">
        <v>544</v>
      </c>
      <c r="C9" s="30"/>
      <c r="D9" s="30"/>
      <c r="E9" s="30"/>
      <c r="F9" s="30"/>
      <c r="G9" s="30"/>
      <c r="H9" s="30"/>
      <c r="I9" s="30"/>
      <c r="J9" s="30"/>
      <c r="L9" s="39" t="s">
        <v>178</v>
      </c>
      <c r="M9" s="30"/>
      <c r="N9" s="30"/>
      <c r="O9" s="31"/>
      <c r="P9" s="31"/>
      <c r="Q9" s="31"/>
      <c r="R9" s="31"/>
      <c r="S9"/>
      <c r="T9"/>
      <c r="U9"/>
      <c r="V9"/>
      <c r="W9"/>
    </row>
    <row r="10" spans="1:37" ht="15.5" x14ac:dyDescent="0.35">
      <c r="A10" s="31"/>
      <c r="B10" s="31"/>
      <c r="C10" s="20" t="s">
        <v>180</v>
      </c>
      <c r="D10" s="20" t="s">
        <v>179</v>
      </c>
      <c r="E10" s="31"/>
      <c r="F10" s="20" t="s">
        <v>180</v>
      </c>
      <c r="G10" s="20" t="s">
        <v>179</v>
      </c>
      <c r="H10" s="31"/>
      <c r="I10" s="31"/>
      <c r="J10" s="31"/>
      <c r="K10" s="31"/>
      <c r="L10" s="31"/>
      <c r="M10" s="31"/>
      <c r="N10" s="31"/>
      <c r="O10" s="31"/>
      <c r="P10" s="31"/>
      <c r="Q10" s="31"/>
      <c r="R10" s="31"/>
      <c r="S10"/>
      <c r="T10"/>
      <c r="U10"/>
      <c r="V10"/>
      <c r="W10"/>
    </row>
    <row r="11" spans="1:37" ht="16" thickBot="1" x14ac:dyDescent="0.4">
      <c r="A11" s="31"/>
      <c r="B11" s="20" t="s">
        <v>179</v>
      </c>
      <c r="C11" s="20" t="s">
        <v>179</v>
      </c>
      <c r="D11" s="20" t="s">
        <v>595</v>
      </c>
      <c r="E11" s="20" t="s">
        <v>183</v>
      </c>
      <c r="F11" s="20" t="s">
        <v>183</v>
      </c>
      <c r="G11" s="20" t="s">
        <v>184</v>
      </c>
      <c r="H11" s="31"/>
      <c r="I11" s="31"/>
      <c r="J11" s="31"/>
      <c r="K11" s="20" t="s">
        <v>185</v>
      </c>
      <c r="L11" s="31"/>
      <c r="M11" s="31"/>
      <c r="N11" s="4" t="s">
        <v>187</v>
      </c>
      <c r="O11" s="31"/>
      <c r="P11" s="31"/>
      <c r="Q11" s="31"/>
      <c r="R11" s="31"/>
      <c r="S11"/>
      <c r="T11"/>
      <c r="U11"/>
      <c r="V11"/>
      <c r="W11"/>
    </row>
    <row r="12" spans="1:37" ht="16" thickBot="1" x14ac:dyDescent="0.4">
      <c r="A12" s="31"/>
      <c r="B12" s="20" t="s">
        <v>595</v>
      </c>
      <c r="C12" s="20" t="s">
        <v>595</v>
      </c>
      <c r="D12" s="20" t="s">
        <v>195</v>
      </c>
      <c r="E12" s="20" t="s">
        <v>190</v>
      </c>
      <c r="F12" s="20" t="s">
        <v>190</v>
      </c>
      <c r="G12" s="20" t="s">
        <v>191</v>
      </c>
      <c r="H12" s="31"/>
      <c r="I12" s="20" t="s">
        <v>180</v>
      </c>
      <c r="J12" s="20" t="s">
        <v>149</v>
      </c>
      <c r="K12" s="20" t="s">
        <v>149</v>
      </c>
      <c r="L12" s="20" t="s">
        <v>192</v>
      </c>
      <c r="M12" s="20" t="s">
        <v>181</v>
      </c>
      <c r="N12" s="20" t="s">
        <v>193</v>
      </c>
      <c r="O12" s="31"/>
      <c r="P12" s="32">
        <v>7.7812216821069235E-3</v>
      </c>
      <c r="Q12" s="33" t="s">
        <v>194</v>
      </c>
      <c r="R12" s="31"/>
      <c r="S12"/>
      <c r="T12"/>
      <c r="U12"/>
      <c r="V12"/>
      <c r="W12"/>
    </row>
    <row r="13" spans="1:37" ht="15.5" x14ac:dyDescent="0.35">
      <c r="A13" s="31"/>
      <c r="B13" s="20" t="s">
        <v>195</v>
      </c>
      <c r="C13" s="20" t="s">
        <v>195</v>
      </c>
      <c r="D13" s="20" t="s">
        <v>196</v>
      </c>
      <c r="E13" s="20" t="s">
        <v>191</v>
      </c>
      <c r="F13" s="20" t="s">
        <v>191</v>
      </c>
      <c r="G13" s="20" t="s">
        <v>197</v>
      </c>
      <c r="H13" s="20" t="s">
        <v>149</v>
      </c>
      <c r="I13" s="20" t="s">
        <v>149</v>
      </c>
      <c r="J13" s="20" t="s">
        <v>197</v>
      </c>
      <c r="K13" s="20" t="s">
        <v>197</v>
      </c>
      <c r="L13" s="20" t="s">
        <v>197</v>
      </c>
      <c r="M13" s="20" t="s">
        <v>186</v>
      </c>
      <c r="N13" s="20" t="s">
        <v>186</v>
      </c>
      <c r="O13" s="20" t="s">
        <v>199</v>
      </c>
      <c r="P13" s="20" t="s">
        <v>200</v>
      </c>
      <c r="Q13" s="20" t="s">
        <v>201</v>
      </c>
      <c r="R13" s="20" t="s">
        <v>202</v>
      </c>
      <c r="S13"/>
      <c r="T13"/>
      <c r="U13"/>
      <c r="V13"/>
      <c r="W13"/>
    </row>
    <row r="14" spans="1:37" ht="15.5" x14ac:dyDescent="0.35">
      <c r="A14" s="34" t="s">
        <v>155</v>
      </c>
      <c r="B14" s="21" t="s">
        <v>204</v>
      </c>
      <c r="C14" s="21" t="s">
        <v>204</v>
      </c>
      <c r="D14" s="21" t="s">
        <v>205</v>
      </c>
      <c r="E14" s="21" t="s">
        <v>204</v>
      </c>
      <c r="F14" s="21" t="s">
        <v>204</v>
      </c>
      <c r="G14" s="21" t="s">
        <v>205</v>
      </c>
      <c r="H14" s="21" t="s">
        <v>204</v>
      </c>
      <c r="I14" s="21" t="s">
        <v>204</v>
      </c>
      <c r="J14" s="21" t="s">
        <v>205</v>
      </c>
      <c r="K14" s="21" t="s">
        <v>205</v>
      </c>
      <c r="L14" s="21" t="s">
        <v>205</v>
      </c>
      <c r="M14" s="21" t="s">
        <v>192</v>
      </c>
      <c r="N14" s="21" t="s">
        <v>192</v>
      </c>
      <c r="O14" s="21" t="s">
        <v>204</v>
      </c>
      <c r="P14" s="21" t="s">
        <v>209</v>
      </c>
      <c r="Q14" s="21" t="s">
        <v>205</v>
      </c>
      <c r="R14" s="21" t="s">
        <v>207</v>
      </c>
      <c r="S14"/>
      <c r="T14"/>
      <c r="U14"/>
      <c r="V14"/>
      <c r="W14"/>
    </row>
    <row r="15" spans="1:37" x14ac:dyDescent="0.35">
      <c r="C15" s="64"/>
      <c r="AF15" s="8"/>
      <c r="AG15" s="12"/>
      <c r="AH15" s="12"/>
      <c r="AI15" s="12"/>
      <c r="AJ15" s="12"/>
      <c r="AK15" s="12"/>
    </row>
    <row r="16" spans="1:37" x14ac:dyDescent="0.35">
      <c r="B16" s="72">
        <v>-1</v>
      </c>
      <c r="C16" s="72">
        <v>-2</v>
      </c>
      <c r="D16" s="72">
        <v>-3</v>
      </c>
      <c r="E16" s="72">
        <v>-4</v>
      </c>
      <c r="F16" s="72">
        <v>-5</v>
      </c>
      <c r="G16" s="72">
        <v>-6</v>
      </c>
      <c r="H16" s="72">
        <v>-7</v>
      </c>
      <c r="I16" s="72"/>
      <c r="J16" s="72">
        <v>-8</v>
      </c>
      <c r="K16" s="72">
        <v>-9</v>
      </c>
      <c r="L16" s="72">
        <v>-10</v>
      </c>
      <c r="M16" s="72">
        <v>-11</v>
      </c>
      <c r="N16" s="72">
        <v>-12</v>
      </c>
      <c r="O16" s="72">
        <v>-13</v>
      </c>
      <c r="P16" s="72">
        <v>-14</v>
      </c>
      <c r="Q16" s="72">
        <v>-15</v>
      </c>
      <c r="R16" s="72">
        <v>-16</v>
      </c>
      <c r="S16" s="72">
        <v>-17</v>
      </c>
      <c r="T16" s="72">
        <v>-18</v>
      </c>
      <c r="AF16" s="8"/>
      <c r="AG16" s="8"/>
      <c r="AH16" s="8"/>
      <c r="AI16" s="8"/>
      <c r="AJ16" s="8"/>
      <c r="AK16" s="8"/>
    </row>
    <row r="17" spans="1:27" x14ac:dyDescent="0.35">
      <c r="K17"/>
      <c r="L17" s="2"/>
      <c r="O17" s="2" t="s">
        <v>230</v>
      </c>
      <c r="P17" s="2" t="s">
        <v>220</v>
      </c>
    </row>
    <row r="18" spans="1:27" s="31" customFormat="1" ht="15.5" x14ac:dyDescent="0.35">
      <c r="A18" s="2"/>
      <c r="B18" s="2"/>
      <c r="C18" s="2"/>
      <c r="D18" s="2" t="s">
        <v>149</v>
      </c>
      <c r="E18" s="2"/>
      <c r="F18"/>
      <c r="G18" s="2" t="s">
        <v>179</v>
      </c>
      <c r="H18" s="2" t="s">
        <v>188</v>
      </c>
      <c r="I18" s="2" t="s">
        <v>184</v>
      </c>
      <c r="J18"/>
      <c r="K18"/>
      <c r="L18" s="2"/>
      <c r="M18" s="2" t="s">
        <v>596</v>
      </c>
      <c r="N18"/>
      <c r="O18" s="2" t="s">
        <v>185</v>
      </c>
      <c r="P18" s="2" t="s">
        <v>185</v>
      </c>
      <c r="Q18" s="2"/>
      <c r="R18" s="2"/>
      <c r="S18" s="2"/>
      <c r="T18" s="2"/>
      <c r="U18" s="2"/>
      <c r="V18" s="2"/>
      <c r="W18" s="2"/>
    </row>
    <row r="19" spans="1:27" s="31" customFormat="1" ht="15.5" x14ac:dyDescent="0.35">
      <c r="A19" s="2" t="s">
        <v>597</v>
      </c>
      <c r="B19" s="2" t="s">
        <v>179</v>
      </c>
      <c r="C19" s="2" t="s">
        <v>188</v>
      </c>
      <c r="D19" s="2" t="s">
        <v>598</v>
      </c>
      <c r="E19" s="2" t="s">
        <v>184</v>
      </c>
      <c r="F19" s="2" t="s">
        <v>180</v>
      </c>
      <c r="G19" s="2" t="s">
        <v>599</v>
      </c>
      <c r="H19" s="2" t="s">
        <v>600</v>
      </c>
      <c r="I19" s="2" t="s">
        <v>191</v>
      </c>
      <c r="J19" s="2" t="s">
        <v>185</v>
      </c>
      <c r="K19" s="2" t="s">
        <v>199</v>
      </c>
      <c r="L19" s="2" t="s">
        <v>192</v>
      </c>
      <c r="M19" s="73" t="s">
        <v>197</v>
      </c>
      <c r="N19" s="2" t="s">
        <v>181</v>
      </c>
      <c r="O19" s="2" t="s">
        <v>181</v>
      </c>
      <c r="P19" s="2" t="s">
        <v>181</v>
      </c>
      <c r="Q19" s="2" t="s">
        <v>238</v>
      </c>
      <c r="R19" s="2" t="s">
        <v>200</v>
      </c>
      <c r="S19" s="2" t="s">
        <v>601</v>
      </c>
      <c r="T19" s="2" t="s">
        <v>202</v>
      </c>
      <c r="U19" s="2"/>
      <c r="V19" s="2"/>
      <c r="W19"/>
    </row>
    <row r="20" spans="1:27" s="31" customFormat="1" ht="15.5" x14ac:dyDescent="0.35">
      <c r="A20" s="2" t="s">
        <v>155</v>
      </c>
      <c r="B20" s="2" t="s">
        <v>599</v>
      </c>
      <c r="C20" s="2" t="s">
        <v>600</v>
      </c>
      <c r="D20" s="2" t="s">
        <v>602</v>
      </c>
      <c r="E20" s="2" t="s">
        <v>603</v>
      </c>
      <c r="F20" s="2" t="s">
        <v>602</v>
      </c>
      <c r="G20" s="2" t="s">
        <v>197</v>
      </c>
      <c r="H20" s="2" t="s">
        <v>197</v>
      </c>
      <c r="I20" s="2" t="s">
        <v>197</v>
      </c>
      <c r="J20" s="2" t="s">
        <v>197</v>
      </c>
      <c r="K20" s="2" t="s">
        <v>602</v>
      </c>
      <c r="L20" s="73" t="s">
        <v>197</v>
      </c>
      <c r="M20" s="2" t="s">
        <v>604</v>
      </c>
      <c r="N20" s="2" t="s">
        <v>605</v>
      </c>
      <c r="O20" s="2" t="s">
        <v>605</v>
      </c>
      <c r="P20" s="2" t="s">
        <v>605</v>
      </c>
      <c r="Q20" s="2" t="s">
        <v>606</v>
      </c>
      <c r="R20" s="2" t="s">
        <v>209</v>
      </c>
      <c r="S20" s="2" t="s">
        <v>607</v>
      </c>
      <c r="T20" s="2" t="s">
        <v>608</v>
      </c>
      <c r="U20" s="2"/>
      <c r="V20" s="2"/>
      <c r="W20" s="2" t="s">
        <v>226</v>
      </c>
    </row>
    <row r="21" spans="1:27" s="31" customFormat="1" ht="15.5" x14ac:dyDescent="0.35">
      <c r="A21" s="2"/>
      <c r="B21" s="2" t="s">
        <v>609</v>
      </c>
      <c r="C21" s="2" t="s">
        <v>609</v>
      </c>
      <c r="D21" s="2" t="s">
        <v>609</v>
      </c>
      <c r="E21" s="2" t="s">
        <v>609</v>
      </c>
      <c r="F21" s="2" t="s">
        <v>609</v>
      </c>
      <c r="G21" s="2" t="s">
        <v>610</v>
      </c>
      <c r="H21" s="2" t="s">
        <v>610</v>
      </c>
      <c r="I21" s="2" t="s">
        <v>610</v>
      </c>
      <c r="J21" s="2" t="s">
        <v>610</v>
      </c>
      <c r="K21" s="2" t="s">
        <v>611</v>
      </c>
      <c r="L21" s="2" t="s">
        <v>612</v>
      </c>
      <c r="M21" s="2" t="s">
        <v>613</v>
      </c>
      <c r="N21" s="2" t="s">
        <v>614</v>
      </c>
      <c r="O21" s="2" t="s">
        <v>615</v>
      </c>
      <c r="P21" s="2" t="s">
        <v>616</v>
      </c>
      <c r="Q21" s="2" t="s">
        <v>617</v>
      </c>
      <c r="R21" s="2" t="s">
        <v>618</v>
      </c>
      <c r="S21" s="2" t="s">
        <v>619</v>
      </c>
      <c r="T21" s="2" t="s">
        <v>620</v>
      </c>
      <c r="U21" s="2"/>
      <c r="V21" s="2"/>
      <c r="W21" s="2" t="s">
        <v>205</v>
      </c>
    </row>
    <row r="22" spans="1:27" s="31" customFormat="1" ht="15.5" x14ac:dyDescent="0.35">
      <c r="A22"/>
      <c r="B22"/>
      <c r="C22"/>
      <c r="D22"/>
      <c r="E22"/>
      <c r="F22"/>
      <c r="G22" s="8"/>
      <c r="H22" s="8"/>
      <c r="I22" s="12"/>
      <c r="J22"/>
      <c r="K22"/>
      <c r="L22" s="2"/>
      <c r="M22"/>
      <c r="N22"/>
      <c r="O22"/>
      <c r="P22"/>
      <c r="Q22" s="2"/>
      <c r="R22" s="2"/>
      <c r="S22" s="2"/>
      <c r="T22" s="2"/>
      <c r="U22" s="2"/>
      <c r="V22" s="2"/>
      <c r="W22" s="2"/>
    </row>
    <row r="23" spans="1:27" s="31" customFormat="1" ht="15.5" x14ac:dyDescent="0.35">
      <c r="A23" s="5">
        <v>45474</v>
      </c>
      <c r="B23" s="74">
        <v>1831307.0639482907</v>
      </c>
      <c r="C23" s="74">
        <v>6905374.7238107985</v>
      </c>
      <c r="D23" s="74">
        <v>8736681.7877590898</v>
      </c>
      <c r="E23" s="74">
        <v>1553245.0813499677</v>
      </c>
      <c r="F23" s="74">
        <v>10289926.869109057</v>
      </c>
      <c r="G23" s="74">
        <v>15260.892199569087</v>
      </c>
      <c r="H23" s="75">
        <v>57544.789365089986</v>
      </c>
      <c r="I23" s="75">
        <v>129437.09</v>
      </c>
      <c r="J23" s="8">
        <v>202242.77156465908</v>
      </c>
      <c r="K23" s="8">
        <v>10087684.097544398</v>
      </c>
      <c r="L23" s="8">
        <v>10289926.869109057</v>
      </c>
      <c r="M23" s="74">
        <v>202242.77156465908</v>
      </c>
      <c r="N23" s="74">
        <v>2835647.9998197304</v>
      </c>
      <c r="O23" s="74">
        <v>0</v>
      </c>
      <c r="P23" s="74">
        <v>2835647.9998197304</v>
      </c>
      <c r="Q23" s="76">
        <v>7252036.0977246678</v>
      </c>
      <c r="R23" s="76">
        <v>56429.700523037267</v>
      </c>
      <c r="S23" s="76">
        <v>1258503.7983437644</v>
      </c>
      <c r="T23" s="77">
        <v>1517176.2704314608</v>
      </c>
      <c r="U23" s="1"/>
      <c r="V23" s="77"/>
      <c r="W23" s="78">
        <v>14916.862924822555</v>
      </c>
      <c r="Z23" s="31">
        <v>1517176.2705433287</v>
      </c>
      <c r="AA23" s="38">
        <v>14916.8628129547</v>
      </c>
    </row>
    <row r="24" spans="1:27" s="31" customFormat="1" ht="15.5" x14ac:dyDescent="0.35">
      <c r="A24" s="5">
        <v>45505</v>
      </c>
      <c r="B24" s="75">
        <v>1831307.0639482907</v>
      </c>
      <c r="C24" s="75">
        <v>6905374.7238107985</v>
      </c>
      <c r="D24" s="75">
        <v>8736681.7877590898</v>
      </c>
      <c r="E24" s="75">
        <v>1553245.0813499677</v>
      </c>
      <c r="F24" s="74">
        <v>20579853.738218114</v>
      </c>
      <c r="G24" s="75">
        <v>30521.784399138174</v>
      </c>
      <c r="H24" s="75">
        <v>115089.57873017997</v>
      </c>
      <c r="I24" s="75">
        <v>258874.18022499463</v>
      </c>
      <c r="J24" s="75">
        <v>606728.31491897185</v>
      </c>
      <c r="K24" s="8">
        <v>19973125.423299141</v>
      </c>
      <c r="L24" s="8">
        <v>10289926.869109057</v>
      </c>
      <c r="M24" s="74">
        <v>404485.54335431277</v>
      </c>
      <c r="N24" s="75">
        <v>2778797.556669659</v>
      </c>
      <c r="O24" s="75">
        <v>2835647.9998197304</v>
      </c>
      <c r="P24" s="75">
        <v>5614445.5564893894</v>
      </c>
      <c r="Q24" s="78">
        <v>14358679.866809752</v>
      </c>
      <c r="R24" s="78">
        <v>111728.0711060522</v>
      </c>
      <c r="S24" s="78">
        <v>1258503.7983437644</v>
      </c>
      <c r="T24" s="78">
        <v>1774717.4128041295</v>
      </c>
      <c r="U24" s="1"/>
      <c r="V24" s="77"/>
      <c r="W24" s="78">
        <v>29534.665364091557</v>
      </c>
      <c r="Z24" s="31">
        <v>1774717.4128035002</v>
      </c>
      <c r="AA24" s="38">
        <v>-1744195.6284043621</v>
      </c>
    </row>
    <row r="25" spans="1:27" s="31" customFormat="1" ht="15.5" x14ac:dyDescent="0.35">
      <c r="A25" s="79">
        <v>45536</v>
      </c>
      <c r="B25" s="80">
        <v>1831307.0639482907</v>
      </c>
      <c r="C25" s="80">
        <v>6905374.7238107985</v>
      </c>
      <c r="D25" s="80">
        <v>8736681.7877590898</v>
      </c>
      <c r="E25" s="80">
        <v>1553245.0813499677</v>
      </c>
      <c r="F25" s="81">
        <v>30869780.607327174</v>
      </c>
      <c r="G25" s="80">
        <v>45782.676598707265</v>
      </c>
      <c r="H25" s="80">
        <v>172634.36809526995</v>
      </c>
      <c r="I25" s="80">
        <v>388311.27033749194</v>
      </c>
      <c r="J25" s="80">
        <v>1213456.629950441</v>
      </c>
      <c r="K25" s="82">
        <v>29656323.977376733</v>
      </c>
      <c r="L25" s="82">
        <v>10289926.869109057</v>
      </c>
      <c r="M25" s="81">
        <v>606728.3150314691</v>
      </c>
      <c r="N25" s="80">
        <v>2721947.1135512101</v>
      </c>
      <c r="O25" s="80">
        <v>5614445.5564893894</v>
      </c>
      <c r="P25" s="80">
        <v>8336392.6700406</v>
      </c>
      <c r="Q25" s="83">
        <v>21319931.307336133</v>
      </c>
      <c r="R25" s="83">
        <v>165895.11174967414</v>
      </c>
      <c r="S25" s="83">
        <v>1258503.7983437644</v>
      </c>
      <c r="T25" s="83">
        <v>2031127.2251249077</v>
      </c>
      <c r="U25" s="1"/>
      <c r="V25" s="77"/>
      <c r="W25" s="83">
        <v>43853.407317973375</v>
      </c>
      <c r="Z25" s="31">
        <v>2031127.2251242786</v>
      </c>
      <c r="AA25" s="38">
        <v>-1985344.5485255714</v>
      </c>
    </row>
    <row r="26" spans="1:27" s="31" customFormat="1" ht="15.5" x14ac:dyDescent="0.35">
      <c r="A26" s="5">
        <v>45566</v>
      </c>
      <c r="B26" s="75">
        <v>1831307.0639482907</v>
      </c>
      <c r="C26" s="75">
        <v>6905374.7238107985</v>
      </c>
      <c r="D26" s="75">
        <v>8736681.7877590898</v>
      </c>
      <c r="E26" s="75">
        <v>1553245.0813499677</v>
      </c>
      <c r="F26" s="74">
        <v>41159707.476436228</v>
      </c>
      <c r="G26" s="75">
        <v>61043.568798276348</v>
      </c>
      <c r="H26" s="75">
        <v>230179.15746035994</v>
      </c>
      <c r="I26" s="75">
        <v>517748.36044998927</v>
      </c>
      <c r="J26" s="75">
        <v>2022427.7166590665</v>
      </c>
      <c r="K26" s="8">
        <v>39137279.759777166</v>
      </c>
      <c r="L26" s="8">
        <v>10289926.869109057</v>
      </c>
      <c r="M26" s="74">
        <v>808971.08670862555</v>
      </c>
      <c r="N26" s="75">
        <v>2665096.6704327613</v>
      </c>
      <c r="O26" s="75">
        <v>8336392.6700406</v>
      </c>
      <c r="P26" s="75">
        <v>11001489.340473361</v>
      </c>
      <c r="Q26" s="78">
        <v>28135790.419303805</v>
      </c>
      <c r="R26" s="78">
        <v>218930.82245390301</v>
      </c>
      <c r="S26" s="78">
        <v>1258503.7983437644</v>
      </c>
      <c r="T26" s="78">
        <v>2286405.707506293</v>
      </c>
      <c r="U26" s="1"/>
      <c r="V26" s="77"/>
      <c r="W26" s="78">
        <v>57873.088786467997</v>
      </c>
      <c r="Z26" s="31">
        <v>2286405.7075056639</v>
      </c>
      <c r="AA26" s="38">
        <v>-2225362.1387073877</v>
      </c>
    </row>
    <row r="27" spans="1:27" s="31" customFormat="1" ht="15.5" x14ac:dyDescent="0.35">
      <c r="A27" s="5">
        <v>45597</v>
      </c>
      <c r="B27" s="75">
        <v>1831307.0639482907</v>
      </c>
      <c r="C27" s="75">
        <v>6905374.7238107985</v>
      </c>
      <c r="D27" s="75">
        <v>8736681.7877590898</v>
      </c>
      <c r="E27" s="75">
        <v>1553245.0813499677</v>
      </c>
      <c r="F27" s="74">
        <v>51449634.345545284</v>
      </c>
      <c r="G27" s="75">
        <v>76304.460997845454</v>
      </c>
      <c r="H27" s="75">
        <v>287723.94682544994</v>
      </c>
      <c r="I27" s="75">
        <v>647185.45056248654</v>
      </c>
      <c r="J27" s="75">
        <v>3033641.575044848</v>
      </c>
      <c r="K27" s="8">
        <v>48415992.770500436</v>
      </c>
      <c r="L27" s="8">
        <v>10289926.869109057</v>
      </c>
      <c r="M27" s="74">
        <v>1011213.858385782</v>
      </c>
      <c r="N27" s="75">
        <v>2608246.2273143125</v>
      </c>
      <c r="O27" s="75">
        <v>11001489.340473361</v>
      </c>
      <c r="P27" s="75">
        <v>13609735.567787673</v>
      </c>
      <c r="Q27" s="78">
        <v>34806257.202712759</v>
      </c>
      <c r="R27" s="78">
        <v>270835.20321873878</v>
      </c>
      <c r="S27" s="78">
        <v>1258503.7983437644</v>
      </c>
      <c r="T27" s="78">
        <v>2540552.8599482849</v>
      </c>
      <c r="U27" s="1"/>
      <c r="V27" s="77"/>
      <c r="W27" s="78">
        <v>71593.709769575391</v>
      </c>
      <c r="Z27" s="31">
        <v>2540552.8599476563</v>
      </c>
      <c r="AA27" s="38">
        <v>-2464248.3989498108</v>
      </c>
    </row>
    <row r="28" spans="1:27" s="31" customFormat="1" ht="15.5" x14ac:dyDescent="0.35">
      <c r="A28" s="79">
        <v>45627</v>
      </c>
      <c r="B28" s="80">
        <v>1831307.0639482907</v>
      </c>
      <c r="C28" s="80">
        <v>6905374.7238107985</v>
      </c>
      <c r="D28" s="80">
        <v>8736681.7877590898</v>
      </c>
      <c r="E28" s="80">
        <v>1553245.0813499677</v>
      </c>
      <c r="F28" s="81">
        <v>61739561.214654341</v>
      </c>
      <c r="G28" s="80">
        <v>91565.35319741453</v>
      </c>
      <c r="H28" s="80">
        <v>345268.7361905399</v>
      </c>
      <c r="I28" s="80">
        <v>776622.54067498387</v>
      </c>
      <c r="J28" s="80">
        <v>4247098.2051077858</v>
      </c>
      <c r="K28" s="82">
        <v>57492463.009546556</v>
      </c>
      <c r="L28" s="82">
        <v>10289926.869109057</v>
      </c>
      <c r="M28" s="81">
        <v>1213456.6300629382</v>
      </c>
      <c r="N28" s="80">
        <v>2551395.7841958641</v>
      </c>
      <c r="O28" s="80">
        <v>13609735.567787673</v>
      </c>
      <c r="P28" s="80">
        <v>16161131.351983538</v>
      </c>
      <c r="Q28" s="83">
        <v>41331331.657563016</v>
      </c>
      <c r="R28" s="83">
        <v>321608.25404418161</v>
      </c>
      <c r="S28" s="83">
        <v>1258503.7983437644</v>
      </c>
      <c r="T28" s="83">
        <v>2793568.682450884</v>
      </c>
      <c r="U28" s="1"/>
      <c r="V28" s="77"/>
      <c r="W28" s="83">
        <v>85015.270267295622</v>
      </c>
      <c r="AA28" s="38">
        <v>91565.35319741453</v>
      </c>
    </row>
    <row r="29" spans="1:27" s="31" customFormat="1" ht="15.5" x14ac:dyDescent="0.35">
      <c r="A29" s="5">
        <v>45658</v>
      </c>
      <c r="B29" s="74">
        <v>0</v>
      </c>
      <c r="C29" s="74">
        <v>0</v>
      </c>
      <c r="D29" s="74">
        <v>0</v>
      </c>
      <c r="E29" s="74">
        <v>0</v>
      </c>
      <c r="F29" s="74">
        <v>61739561.214654341</v>
      </c>
      <c r="G29" s="74">
        <v>91565.35319741453</v>
      </c>
      <c r="H29" s="74">
        <v>345268.7361905399</v>
      </c>
      <c r="I29" s="75">
        <v>776622.54067498387</v>
      </c>
      <c r="J29" s="74">
        <v>5460554.8351707235</v>
      </c>
      <c r="K29" s="74">
        <v>56279006.379483618</v>
      </c>
      <c r="L29" s="74">
        <v>0</v>
      </c>
      <c r="M29" s="74">
        <v>1213456.6300629382</v>
      </c>
      <c r="N29" s="74">
        <v>-341102.65871069196</v>
      </c>
      <c r="O29" s="74">
        <v>16161131.351983538</v>
      </c>
      <c r="P29" s="74">
        <v>15820028.693272846</v>
      </c>
      <c r="Q29" s="76">
        <v>40458977.686210774</v>
      </c>
      <c r="R29" s="76">
        <v>314820.27440782345</v>
      </c>
      <c r="S29" s="76">
        <v>0</v>
      </c>
      <c r="T29" s="76">
        <v>1528276.9044707618</v>
      </c>
      <c r="U29" s="1"/>
      <c r="V29" s="1"/>
      <c r="W29" s="78">
        <v>83220.907354972456</v>
      </c>
      <c r="AA29" s="38">
        <v>436834.08938795445</v>
      </c>
    </row>
    <row r="30" spans="1:27" s="31" customFormat="1" ht="15.5" x14ac:dyDescent="0.35">
      <c r="A30" s="5">
        <v>45689</v>
      </c>
      <c r="B30" s="75">
        <v>0</v>
      </c>
      <c r="C30" s="75">
        <v>0</v>
      </c>
      <c r="D30" s="75">
        <v>0</v>
      </c>
      <c r="E30" s="75">
        <v>0</v>
      </c>
      <c r="F30" s="74">
        <v>61739561.214654341</v>
      </c>
      <c r="G30" s="75">
        <v>91565.35319741453</v>
      </c>
      <c r="H30" s="75">
        <v>345268.7361905399</v>
      </c>
      <c r="I30" s="75">
        <v>776622.54067498387</v>
      </c>
      <c r="J30" s="75">
        <v>6674011.4652336612</v>
      </c>
      <c r="K30" s="8">
        <v>55065549.74942068</v>
      </c>
      <c r="L30" s="8">
        <v>0</v>
      </c>
      <c r="M30" s="74">
        <v>1213456.6300629382</v>
      </c>
      <c r="N30" s="75">
        <v>-341102.65871069196</v>
      </c>
      <c r="O30" s="75">
        <v>15820028.693272846</v>
      </c>
      <c r="P30" s="75">
        <v>15478926.034562154</v>
      </c>
      <c r="Q30" s="78">
        <v>39586623.714858525</v>
      </c>
      <c r="R30" s="78">
        <v>308032.2947714653</v>
      </c>
      <c r="S30" s="78">
        <v>0</v>
      </c>
      <c r="T30" s="78">
        <v>1521488.9248344034</v>
      </c>
      <c r="U30" s="1"/>
      <c r="V30" s="1"/>
      <c r="W30" s="78">
        <v>81426.544442649276</v>
      </c>
      <c r="AA30" s="38">
        <v>436834.08938795445</v>
      </c>
    </row>
    <row r="31" spans="1:27" s="31" customFormat="1" ht="15.5" x14ac:dyDescent="0.35">
      <c r="A31" s="79">
        <v>45717</v>
      </c>
      <c r="B31" s="80">
        <v>0</v>
      </c>
      <c r="C31" s="80">
        <v>0</v>
      </c>
      <c r="D31" s="80">
        <v>0</v>
      </c>
      <c r="E31" s="80">
        <v>0</v>
      </c>
      <c r="F31" s="81">
        <v>61739561.214654341</v>
      </c>
      <c r="G31" s="80">
        <v>91565.35319741453</v>
      </c>
      <c r="H31" s="80">
        <v>345268.7361905399</v>
      </c>
      <c r="I31" s="80">
        <v>776622.54067498387</v>
      </c>
      <c r="J31" s="80">
        <v>7887468.095296599</v>
      </c>
      <c r="K31" s="82">
        <v>53852093.119357742</v>
      </c>
      <c r="L31" s="82">
        <v>0</v>
      </c>
      <c r="M31" s="81">
        <v>1213456.6300629382</v>
      </c>
      <c r="N31" s="80">
        <v>-341102.65871069196</v>
      </c>
      <c r="O31" s="80">
        <v>15478926.034562154</v>
      </c>
      <c r="P31" s="80">
        <v>15137823.375851462</v>
      </c>
      <c r="Q31" s="83">
        <v>38714269.743506283</v>
      </c>
      <c r="R31" s="83">
        <v>301244.31513510714</v>
      </c>
      <c r="S31" s="83">
        <v>0</v>
      </c>
      <c r="T31" s="83">
        <v>1514700.9451980453</v>
      </c>
      <c r="U31" s="1"/>
      <c r="V31" s="1"/>
      <c r="W31" s="83">
        <v>79632.181530326096</v>
      </c>
      <c r="AA31" s="38">
        <v>436834.08938795445</v>
      </c>
    </row>
    <row r="32" spans="1:27" s="31" customFormat="1" ht="15.5" x14ac:dyDescent="0.35">
      <c r="A32" s="5">
        <v>45748</v>
      </c>
      <c r="B32" s="75">
        <v>0</v>
      </c>
      <c r="C32" s="75">
        <v>0</v>
      </c>
      <c r="D32" s="75">
        <v>0</v>
      </c>
      <c r="E32" s="75">
        <v>0</v>
      </c>
      <c r="F32" s="74">
        <v>61739561.214654341</v>
      </c>
      <c r="G32" s="75">
        <v>91565.35319741453</v>
      </c>
      <c r="H32" s="75">
        <v>345268.7361905399</v>
      </c>
      <c r="I32" s="75">
        <v>776622.54067498387</v>
      </c>
      <c r="J32" s="75">
        <v>9100924.7253595367</v>
      </c>
      <c r="K32" s="8">
        <v>52638636.489294805</v>
      </c>
      <c r="L32" s="8">
        <v>0</v>
      </c>
      <c r="M32" s="74">
        <v>1213456.6300629382</v>
      </c>
      <c r="N32" s="75">
        <v>-341102.65871069196</v>
      </c>
      <c r="O32" s="75">
        <v>15137823.375851462</v>
      </c>
      <c r="P32" s="75">
        <v>14796720.71714077</v>
      </c>
      <c r="Q32" s="78">
        <v>37841915.772154033</v>
      </c>
      <c r="R32" s="78">
        <v>294456.33549874893</v>
      </c>
      <c r="S32" s="78">
        <v>0</v>
      </c>
      <c r="T32" s="78">
        <v>1507912.965561687</v>
      </c>
      <c r="U32" s="1"/>
      <c r="V32" s="1"/>
      <c r="W32" s="78">
        <v>77837.818618002915</v>
      </c>
      <c r="AA32" s="38">
        <v>436834.08938795445</v>
      </c>
    </row>
    <row r="33" spans="1:27" s="31" customFormat="1" ht="15.5" x14ac:dyDescent="0.35">
      <c r="A33" s="5">
        <v>45778</v>
      </c>
      <c r="B33" s="75">
        <v>0</v>
      </c>
      <c r="C33" s="75">
        <v>0</v>
      </c>
      <c r="D33" s="75">
        <v>0</v>
      </c>
      <c r="E33" s="75">
        <v>0</v>
      </c>
      <c r="F33" s="74">
        <v>61739561.214654341</v>
      </c>
      <c r="G33" s="75">
        <v>91565.35319741453</v>
      </c>
      <c r="H33" s="75">
        <v>345268.7361905399</v>
      </c>
      <c r="I33" s="75">
        <v>776622.54067498387</v>
      </c>
      <c r="J33" s="75">
        <v>10314381.355422476</v>
      </c>
      <c r="K33" s="8">
        <v>51425179.859231867</v>
      </c>
      <c r="L33" s="8">
        <v>0</v>
      </c>
      <c r="M33" s="74">
        <v>1213456.6300629382</v>
      </c>
      <c r="N33" s="75">
        <v>-341102.65871069196</v>
      </c>
      <c r="O33" s="75">
        <v>14796720.71714077</v>
      </c>
      <c r="P33" s="75">
        <v>14455618.058430078</v>
      </c>
      <c r="Q33" s="78">
        <v>36969561.800801791</v>
      </c>
      <c r="R33" s="78">
        <v>287668.35586239077</v>
      </c>
      <c r="S33" s="78">
        <v>0</v>
      </c>
      <c r="T33" s="78">
        <v>1501124.9859253289</v>
      </c>
      <c r="U33" s="1"/>
      <c r="V33" s="1"/>
      <c r="W33" s="78">
        <v>76043.455705679749</v>
      </c>
      <c r="AA33" s="38">
        <v>436834.08938795445</v>
      </c>
    </row>
    <row r="34" spans="1:27" s="31" customFormat="1" ht="15.5" x14ac:dyDescent="0.35">
      <c r="A34" s="79">
        <v>45809</v>
      </c>
      <c r="B34" s="80">
        <v>0</v>
      </c>
      <c r="C34" s="80">
        <v>0</v>
      </c>
      <c r="D34" s="80">
        <v>0</v>
      </c>
      <c r="E34" s="80">
        <v>0</v>
      </c>
      <c r="F34" s="81">
        <v>61739561.214654341</v>
      </c>
      <c r="G34" s="80">
        <v>91565.35319741453</v>
      </c>
      <c r="H34" s="80">
        <v>345268.7361905399</v>
      </c>
      <c r="I34" s="80">
        <v>776622.54067498387</v>
      </c>
      <c r="J34" s="80">
        <v>11527837.985485416</v>
      </c>
      <c r="K34" s="82">
        <v>50211723.229168929</v>
      </c>
      <c r="L34" s="82">
        <v>0</v>
      </c>
      <c r="M34" s="81">
        <v>1213456.6300629382</v>
      </c>
      <c r="N34" s="80">
        <v>-341102.65871069196</v>
      </c>
      <c r="O34" s="80">
        <v>14455618.058430078</v>
      </c>
      <c r="P34" s="80">
        <v>14114515.399719385</v>
      </c>
      <c r="Q34" s="83">
        <v>36097207.829449542</v>
      </c>
      <c r="R34" s="83">
        <v>280880.37622603256</v>
      </c>
      <c r="S34" s="83">
        <v>0</v>
      </c>
      <c r="T34" s="83">
        <v>1494337.0062889708</v>
      </c>
      <c r="U34" s="1"/>
      <c r="V34" s="1"/>
      <c r="W34" s="83">
        <v>74249.092793356569</v>
      </c>
      <c r="AA34" s="38">
        <v>436834.08938795445</v>
      </c>
    </row>
    <row r="35" spans="1:27" s="31" customFormat="1" ht="15.5" x14ac:dyDescent="0.35">
      <c r="A35" s="5">
        <v>45839</v>
      </c>
      <c r="B35" s="75">
        <v>0</v>
      </c>
      <c r="C35" s="75">
        <v>0</v>
      </c>
      <c r="D35" s="75">
        <v>0</v>
      </c>
      <c r="E35" s="75">
        <v>0</v>
      </c>
      <c r="F35" s="74">
        <v>61739561.214654341</v>
      </c>
      <c r="G35" s="75">
        <v>91565.35319741453</v>
      </c>
      <c r="H35" s="75">
        <v>345268.7361905399</v>
      </c>
      <c r="I35" s="75">
        <v>647185.45056248654</v>
      </c>
      <c r="J35" s="75">
        <v>12611857.525435857</v>
      </c>
      <c r="K35" s="8">
        <v>49127703.689218484</v>
      </c>
      <c r="L35" s="8">
        <v>0</v>
      </c>
      <c r="M35" s="74">
        <v>1084019.5399504411</v>
      </c>
      <c r="N35" s="75">
        <v>-304717.89268006902</v>
      </c>
      <c r="O35" s="75">
        <v>14114515.399719385</v>
      </c>
      <c r="P35" s="75">
        <v>13809797.507039316</v>
      </c>
      <c r="Q35" s="78">
        <v>35317906.182179168</v>
      </c>
      <c r="R35" s="78">
        <v>274816.45735139068</v>
      </c>
      <c r="S35" s="78">
        <v>0</v>
      </c>
      <c r="T35" s="78">
        <v>1358835.9973018318</v>
      </c>
      <c r="U35" s="1"/>
      <c r="V35" s="1"/>
      <c r="W35" s="78">
        <v>72646.131129518762</v>
      </c>
      <c r="AA35" s="38">
        <v>436834.08938795445</v>
      </c>
    </row>
    <row r="36" spans="1:27" s="31" customFormat="1" ht="15.5" x14ac:dyDescent="0.35">
      <c r="A36" s="5">
        <v>45870</v>
      </c>
      <c r="B36" s="75">
        <v>0</v>
      </c>
      <c r="C36" s="75">
        <v>0</v>
      </c>
      <c r="D36" s="75">
        <v>0</v>
      </c>
      <c r="E36" s="75">
        <v>0</v>
      </c>
      <c r="F36" s="74">
        <v>61739561.214654341</v>
      </c>
      <c r="G36" s="75">
        <v>91565.35319741453</v>
      </c>
      <c r="H36" s="75">
        <v>345268.7361905399</v>
      </c>
      <c r="I36" s="75">
        <v>517748.36044998927</v>
      </c>
      <c r="J36" s="75">
        <v>13566439.975273801</v>
      </c>
      <c r="K36" s="8">
        <v>48173121.239380538</v>
      </c>
      <c r="L36" s="8">
        <v>0</v>
      </c>
      <c r="M36" s="74">
        <v>954582.44983794377</v>
      </c>
      <c r="N36" s="75">
        <v>-268333.12664944603</v>
      </c>
      <c r="O36" s="75">
        <v>13809797.507039316</v>
      </c>
      <c r="P36" s="75">
        <v>13541464.380389869</v>
      </c>
      <c r="Q36" s="78">
        <v>34631656.858990669</v>
      </c>
      <c r="R36" s="78">
        <v>269476.59923846513</v>
      </c>
      <c r="S36" s="78">
        <v>0</v>
      </c>
      <c r="T36" s="78">
        <v>1224059.0490764088</v>
      </c>
      <c r="U36" s="1"/>
      <c r="V36" s="1"/>
      <c r="W36" s="78">
        <v>71234.570714166315</v>
      </c>
      <c r="AA36" s="38">
        <v>436834.08938795445</v>
      </c>
    </row>
    <row r="37" spans="1:27" s="31" customFormat="1" ht="15.5" x14ac:dyDescent="0.35">
      <c r="A37" s="79">
        <v>45901</v>
      </c>
      <c r="B37" s="80">
        <v>0</v>
      </c>
      <c r="C37" s="80">
        <v>0</v>
      </c>
      <c r="D37" s="80">
        <v>0</v>
      </c>
      <c r="E37" s="80">
        <v>0</v>
      </c>
      <c r="F37" s="81">
        <v>61739561.214654341</v>
      </c>
      <c r="G37" s="80">
        <v>91565.35319741453</v>
      </c>
      <c r="H37" s="80">
        <v>345268.7361905399</v>
      </c>
      <c r="I37" s="80">
        <v>388311.27033749194</v>
      </c>
      <c r="J37" s="80">
        <v>14391585.334999248</v>
      </c>
      <c r="K37" s="82">
        <v>47347975.879655093</v>
      </c>
      <c r="L37" s="82">
        <v>0</v>
      </c>
      <c r="M37" s="81">
        <v>825145.35972544644</v>
      </c>
      <c r="N37" s="80">
        <v>-231948.360618823</v>
      </c>
      <c r="O37" s="80">
        <v>13541464.380389869</v>
      </c>
      <c r="P37" s="80">
        <v>13309516.019771047</v>
      </c>
      <c r="Q37" s="83">
        <v>34038459.859884046</v>
      </c>
      <c r="R37" s="83">
        <v>264860.80188725592</v>
      </c>
      <c r="S37" s="83">
        <v>0</v>
      </c>
      <c r="T37" s="83">
        <v>1090006.1616127023</v>
      </c>
      <c r="U37" s="1"/>
      <c r="V37" s="1"/>
      <c r="W37" s="83">
        <v>70014.411547299256</v>
      </c>
      <c r="AA37" s="38">
        <v>436834.08938795445</v>
      </c>
    </row>
    <row r="38" spans="1:27" s="31" customFormat="1" ht="15.5" x14ac:dyDescent="0.35">
      <c r="A38" s="5">
        <v>45931</v>
      </c>
      <c r="B38" s="75">
        <v>0</v>
      </c>
      <c r="C38" s="75">
        <v>0</v>
      </c>
      <c r="D38" s="75">
        <v>0</v>
      </c>
      <c r="E38" s="75">
        <v>0</v>
      </c>
      <c r="F38" s="74">
        <v>61739561.214654341</v>
      </c>
      <c r="G38" s="75">
        <v>91565.35319741453</v>
      </c>
      <c r="H38" s="75">
        <v>345268.7361905399</v>
      </c>
      <c r="I38" s="75">
        <v>258874.18022499463</v>
      </c>
      <c r="J38" s="75">
        <v>15087293.604612198</v>
      </c>
      <c r="K38" s="8">
        <v>46652267.610042147</v>
      </c>
      <c r="L38" s="8">
        <v>0</v>
      </c>
      <c r="M38" s="74">
        <v>695708.26961294911</v>
      </c>
      <c r="N38" s="75">
        <v>-195563.59458820001</v>
      </c>
      <c r="O38" s="75">
        <v>13309516.019771047</v>
      </c>
      <c r="P38" s="75">
        <v>13113952.425182847</v>
      </c>
      <c r="Q38" s="78">
        <v>33538315.184859298</v>
      </c>
      <c r="R38" s="78">
        <v>260969.06529776304</v>
      </c>
      <c r="S38" s="78">
        <v>0</v>
      </c>
      <c r="T38" s="78">
        <v>956677.3349107122</v>
      </c>
      <c r="U38" s="1"/>
      <c r="V38" s="1"/>
      <c r="W38" s="78">
        <v>68985.653628917571</v>
      </c>
      <c r="AA38" s="38">
        <v>436834.08938795445</v>
      </c>
    </row>
    <row r="39" spans="1:27" s="31" customFormat="1" ht="15.5" x14ac:dyDescent="0.35">
      <c r="A39" s="5">
        <v>45962</v>
      </c>
      <c r="B39" s="75">
        <v>0</v>
      </c>
      <c r="C39" s="75">
        <v>0</v>
      </c>
      <c r="D39" s="75">
        <v>0</v>
      </c>
      <c r="E39" s="75">
        <v>0</v>
      </c>
      <c r="F39" s="74">
        <v>61739561.214654341</v>
      </c>
      <c r="G39" s="75">
        <v>91565.35319741453</v>
      </c>
      <c r="H39" s="75">
        <v>345268.7361905399</v>
      </c>
      <c r="I39" s="75">
        <v>129437.09011249732</v>
      </c>
      <c r="J39" s="75">
        <v>15653564.784112651</v>
      </c>
      <c r="K39" s="8">
        <v>46085996.430541687</v>
      </c>
      <c r="L39" s="8">
        <v>0</v>
      </c>
      <c r="M39" s="74">
        <v>566271.17950045178</v>
      </c>
      <c r="N39" s="75">
        <v>-159178.82855757701</v>
      </c>
      <c r="O39" s="75">
        <v>13113952.425182847</v>
      </c>
      <c r="P39" s="75">
        <v>12954773.59662527</v>
      </c>
      <c r="Q39" s="78">
        <v>33131222.833916418</v>
      </c>
      <c r="R39" s="78">
        <v>257801.38946998643</v>
      </c>
      <c r="S39" s="78">
        <v>0</v>
      </c>
      <c r="T39" s="78">
        <v>824072.56897043821</v>
      </c>
      <c r="U39" s="1"/>
      <c r="V39" s="1"/>
      <c r="W39" s="78">
        <v>68148.296959021245</v>
      </c>
      <c r="AA39" s="38">
        <v>436834.08938795445</v>
      </c>
    </row>
    <row r="40" spans="1:27" s="31" customFormat="1" ht="15.5" x14ac:dyDescent="0.35">
      <c r="A40" s="79">
        <v>45992</v>
      </c>
      <c r="B40" s="80">
        <v>0</v>
      </c>
      <c r="C40" s="80">
        <v>0</v>
      </c>
      <c r="D40" s="80">
        <v>0</v>
      </c>
      <c r="E40" s="80">
        <v>0</v>
      </c>
      <c r="F40" s="81">
        <v>61739561.214654341</v>
      </c>
      <c r="G40" s="80">
        <v>91565.35319741453</v>
      </c>
      <c r="H40" s="80">
        <v>345268.7361905399</v>
      </c>
      <c r="I40" s="80"/>
      <c r="J40" s="80">
        <v>16090398.873500606</v>
      </c>
      <c r="K40" s="82">
        <v>45649162.341153733</v>
      </c>
      <c r="L40" s="82">
        <v>0</v>
      </c>
      <c r="M40" s="81">
        <v>436834.08938795445</v>
      </c>
      <c r="N40" s="80">
        <v>-122794.062526954</v>
      </c>
      <c r="O40" s="80">
        <v>12954773.59662527</v>
      </c>
      <c r="P40" s="80">
        <v>12831979.534098316</v>
      </c>
      <c r="Q40" s="83">
        <v>32817182.807055417</v>
      </c>
      <c r="R40" s="83">
        <v>255357.77440392616</v>
      </c>
      <c r="S40" s="83">
        <v>0</v>
      </c>
      <c r="T40" s="83">
        <v>692191.86379188066</v>
      </c>
      <c r="U40" s="1"/>
      <c r="V40" s="1"/>
      <c r="W40" s="83">
        <v>67502.341537610293</v>
      </c>
      <c r="AA40" s="38">
        <v>436834.08938795445</v>
      </c>
    </row>
    <row r="41" spans="1:27" s="31" customFormat="1" ht="15.5" x14ac:dyDescent="0.35">
      <c r="A41" s="5">
        <v>46023</v>
      </c>
      <c r="B41" s="75">
        <v>0</v>
      </c>
      <c r="C41" s="75">
        <v>0</v>
      </c>
      <c r="D41" s="75">
        <v>0</v>
      </c>
      <c r="E41" s="75">
        <v>0</v>
      </c>
      <c r="F41" s="74">
        <v>61739561.214654341</v>
      </c>
      <c r="G41" s="75">
        <v>91565.35319741453</v>
      </c>
      <c r="H41" s="75">
        <v>345268.7361905399</v>
      </c>
      <c r="I41" s="75"/>
      <c r="J41" s="75">
        <v>16527232.962888561</v>
      </c>
      <c r="K41" s="8">
        <v>45212328.25176578</v>
      </c>
      <c r="L41" s="8">
        <v>0</v>
      </c>
      <c r="M41" s="74">
        <v>436834.08938795445</v>
      </c>
      <c r="N41" s="75">
        <v>-122794.062526954</v>
      </c>
      <c r="O41" s="75">
        <v>12831979.534098316</v>
      </c>
      <c r="P41" s="75">
        <v>12709185.471571362</v>
      </c>
      <c r="Q41" s="78">
        <v>32503142.780194417</v>
      </c>
      <c r="R41" s="78">
        <v>252914.15933786592</v>
      </c>
      <c r="S41" s="78">
        <v>0</v>
      </c>
      <c r="T41" s="78">
        <v>689748.24872582033</v>
      </c>
      <c r="U41" s="1"/>
      <c r="V41" s="1"/>
      <c r="W41" s="78">
        <v>66856.386116199355</v>
      </c>
      <c r="AA41" s="38">
        <v>436834.08938795445</v>
      </c>
    </row>
    <row r="42" spans="1:27" s="31" customFormat="1" ht="15.5" x14ac:dyDescent="0.35">
      <c r="A42" s="5">
        <v>46054</v>
      </c>
      <c r="B42" s="75">
        <v>0</v>
      </c>
      <c r="C42" s="75">
        <v>0</v>
      </c>
      <c r="D42" s="75">
        <v>0</v>
      </c>
      <c r="E42" s="75">
        <v>0</v>
      </c>
      <c r="F42" s="74">
        <v>61739561.214654341</v>
      </c>
      <c r="G42" s="75">
        <v>91565.35319741453</v>
      </c>
      <c r="H42" s="75">
        <v>345268.7361905399</v>
      </c>
      <c r="I42" s="75"/>
      <c r="J42" s="75">
        <v>16964067.052276514</v>
      </c>
      <c r="K42" s="8">
        <v>44775494.162377827</v>
      </c>
      <c r="L42" s="8">
        <v>0</v>
      </c>
      <c r="M42" s="74">
        <v>436834.08938795445</v>
      </c>
      <c r="N42" s="75">
        <v>-122794.062526954</v>
      </c>
      <c r="O42" s="75">
        <v>12709185.471571362</v>
      </c>
      <c r="P42" s="75">
        <v>12586391.409044407</v>
      </c>
      <c r="Q42" s="78">
        <v>32189102.75333342</v>
      </c>
      <c r="R42" s="78">
        <v>250470.54427180567</v>
      </c>
      <c r="S42" s="78">
        <v>0</v>
      </c>
      <c r="T42" s="78">
        <v>687304.63365976012</v>
      </c>
      <c r="U42" s="1"/>
      <c r="V42" s="1"/>
      <c r="W42" s="78">
        <v>66210.430694788418</v>
      </c>
      <c r="AA42" s="38">
        <v>436834.08938795445</v>
      </c>
    </row>
    <row r="43" spans="1:27" s="31" customFormat="1" ht="15.5" x14ac:dyDescent="0.35">
      <c r="A43" s="79">
        <v>46082</v>
      </c>
      <c r="B43" s="80">
        <v>0</v>
      </c>
      <c r="C43" s="80">
        <v>0</v>
      </c>
      <c r="D43" s="80">
        <v>0</v>
      </c>
      <c r="E43" s="80">
        <v>0</v>
      </c>
      <c r="F43" s="81">
        <v>61739561.214654341</v>
      </c>
      <c r="G43" s="80">
        <v>91565.35319741453</v>
      </c>
      <c r="H43" s="80">
        <v>345268.7361905399</v>
      </c>
      <c r="I43" s="80"/>
      <c r="J43" s="80">
        <v>17400901.141664468</v>
      </c>
      <c r="K43" s="82">
        <v>44338660.072989874</v>
      </c>
      <c r="L43" s="82">
        <v>0</v>
      </c>
      <c r="M43" s="81">
        <v>436834.08938795445</v>
      </c>
      <c r="N43" s="80">
        <v>-122794.062526954</v>
      </c>
      <c r="O43" s="80">
        <v>12586391.409044407</v>
      </c>
      <c r="P43" s="80">
        <v>12463597.346517453</v>
      </c>
      <c r="Q43" s="83">
        <v>31875062.726472422</v>
      </c>
      <c r="R43" s="83">
        <v>248026.92920574543</v>
      </c>
      <c r="S43" s="83">
        <v>0</v>
      </c>
      <c r="T43" s="83">
        <v>684861.0185936999</v>
      </c>
      <c r="U43" s="1"/>
      <c r="V43" s="1"/>
      <c r="W43" s="83">
        <v>65564.475273377466</v>
      </c>
      <c r="AA43" s="38">
        <v>436834.08938795445</v>
      </c>
    </row>
    <row r="44" spans="1:27" s="31" customFormat="1" ht="15.5" x14ac:dyDescent="0.35">
      <c r="A44" s="5">
        <v>46113</v>
      </c>
      <c r="B44" s="75">
        <v>0</v>
      </c>
      <c r="C44" s="75">
        <v>0</v>
      </c>
      <c r="D44" s="75">
        <v>0</v>
      </c>
      <c r="E44" s="75">
        <v>0</v>
      </c>
      <c r="F44" s="74">
        <v>61739561.214654341</v>
      </c>
      <c r="G44" s="75">
        <v>91565.35319741453</v>
      </c>
      <c r="H44" s="75">
        <v>345268.7361905399</v>
      </c>
      <c r="I44" s="75"/>
      <c r="J44" s="75">
        <v>17837735.231052421</v>
      </c>
      <c r="K44" s="8">
        <v>43901825.98360192</v>
      </c>
      <c r="L44" s="8">
        <v>0</v>
      </c>
      <c r="M44" s="74">
        <v>436834.08938795445</v>
      </c>
      <c r="N44" s="75">
        <v>-122794.062526954</v>
      </c>
      <c r="O44" s="75">
        <v>12463597.346517453</v>
      </c>
      <c r="P44" s="75">
        <v>12340803.283990499</v>
      </c>
      <c r="Q44" s="78">
        <v>31561022.699611422</v>
      </c>
      <c r="R44" s="78">
        <v>245583.31413968519</v>
      </c>
      <c r="S44" s="78">
        <v>0</v>
      </c>
      <c r="T44" s="78">
        <v>682417.40352763957</v>
      </c>
      <c r="U44" s="1"/>
      <c r="V44" s="1"/>
      <c r="W44" s="78">
        <v>64918.519851966521</v>
      </c>
      <c r="AA44" s="38">
        <v>436834.08938795445</v>
      </c>
    </row>
    <row r="45" spans="1:27" s="31" customFormat="1" ht="15.5" x14ac:dyDescent="0.35">
      <c r="A45" s="5">
        <v>46143</v>
      </c>
      <c r="B45" s="75">
        <v>0</v>
      </c>
      <c r="C45" s="75">
        <v>0</v>
      </c>
      <c r="D45" s="75">
        <v>0</v>
      </c>
      <c r="E45" s="75">
        <v>0</v>
      </c>
      <c r="F45" s="74">
        <v>61739561.214654341</v>
      </c>
      <c r="G45" s="75">
        <v>91565.35319741453</v>
      </c>
      <c r="H45" s="75">
        <v>345268.7361905399</v>
      </c>
      <c r="I45" s="75"/>
      <c r="J45" s="75">
        <v>18274569.320440374</v>
      </c>
      <c r="K45" s="8">
        <v>43464991.894213967</v>
      </c>
      <c r="L45" s="8">
        <v>0</v>
      </c>
      <c r="M45" s="74">
        <v>436834.08938795445</v>
      </c>
      <c r="N45" s="75">
        <v>-122794.062526954</v>
      </c>
      <c r="O45" s="75">
        <v>12340803.283990499</v>
      </c>
      <c r="P45" s="75">
        <v>12218009.221463544</v>
      </c>
      <c r="Q45" s="78">
        <v>31246982.672750421</v>
      </c>
      <c r="R45" s="78">
        <v>243139.69907362491</v>
      </c>
      <c r="S45" s="78">
        <v>0</v>
      </c>
      <c r="T45" s="78">
        <v>679973.78846157936</v>
      </c>
      <c r="U45" s="1"/>
      <c r="V45" s="1"/>
      <c r="W45" s="78">
        <v>64272.564430555569</v>
      </c>
      <c r="AA45" s="38">
        <v>436834.08938795445</v>
      </c>
    </row>
    <row r="46" spans="1:27" s="31" customFormat="1" ht="15.5" x14ac:dyDescent="0.35">
      <c r="A46" s="79">
        <v>46174</v>
      </c>
      <c r="B46" s="80">
        <v>0</v>
      </c>
      <c r="C46" s="80">
        <v>0</v>
      </c>
      <c r="D46" s="80">
        <v>0</v>
      </c>
      <c r="E46" s="80">
        <v>0</v>
      </c>
      <c r="F46" s="81">
        <v>61739561.214654341</v>
      </c>
      <c r="G46" s="80">
        <v>91565.35319741453</v>
      </c>
      <c r="H46" s="80">
        <v>345268.7361905399</v>
      </c>
      <c r="I46" s="80"/>
      <c r="J46" s="80">
        <v>18711403.409828328</v>
      </c>
      <c r="K46" s="82">
        <v>43028157.804826014</v>
      </c>
      <c r="L46" s="82">
        <v>0</v>
      </c>
      <c r="M46" s="81">
        <v>436834.08938795445</v>
      </c>
      <c r="N46" s="80">
        <v>-122794.062526954</v>
      </c>
      <c r="O46" s="80">
        <v>12218009.221463544</v>
      </c>
      <c r="P46" s="80">
        <v>12095215.15893659</v>
      </c>
      <c r="Q46" s="83">
        <v>30932942.645889424</v>
      </c>
      <c r="R46" s="83">
        <v>240696.0840075647</v>
      </c>
      <c r="S46" s="83">
        <v>0</v>
      </c>
      <c r="T46" s="83">
        <v>677530.17339551914</v>
      </c>
      <c r="U46" s="1"/>
      <c r="V46" s="1"/>
      <c r="W46" s="83">
        <v>63626.609009144631</v>
      </c>
      <c r="AA46" s="38">
        <v>436834.08938795445</v>
      </c>
    </row>
    <row r="47" spans="1:27" s="31" customFormat="1" ht="15.5" x14ac:dyDescent="0.35">
      <c r="A47" s="5">
        <v>46204</v>
      </c>
      <c r="B47" s="75">
        <v>0</v>
      </c>
      <c r="C47" s="75">
        <v>0</v>
      </c>
      <c r="D47" s="75">
        <v>0</v>
      </c>
      <c r="E47" s="75">
        <v>0</v>
      </c>
      <c r="F47" s="74">
        <v>61739561.214654341</v>
      </c>
      <c r="G47" s="75">
        <v>91565.35319741453</v>
      </c>
      <c r="H47" s="75">
        <v>345268.7361905399</v>
      </c>
      <c r="I47" s="75"/>
      <c r="J47" s="75">
        <v>19148237.499216281</v>
      </c>
      <c r="K47" s="8">
        <v>42591323.71543806</v>
      </c>
      <c r="L47" s="8">
        <v>0</v>
      </c>
      <c r="M47" s="74">
        <v>436834.08938795445</v>
      </c>
      <c r="N47" s="75">
        <v>-122794.062526954</v>
      </c>
      <c r="O47" s="75">
        <v>12095215.15893659</v>
      </c>
      <c r="P47" s="75">
        <v>11972421.096409636</v>
      </c>
      <c r="Q47" s="78">
        <v>30618902.619028427</v>
      </c>
      <c r="R47" s="78">
        <v>238252.46894150446</v>
      </c>
      <c r="S47" s="78">
        <v>0</v>
      </c>
      <c r="T47" s="78">
        <v>675086.55832945893</v>
      </c>
      <c r="U47" s="1"/>
      <c r="V47" s="1"/>
      <c r="W47" s="78">
        <v>62980.653587733694</v>
      </c>
      <c r="AA47" s="38">
        <v>436834.08938795445</v>
      </c>
    </row>
    <row r="48" spans="1:27" s="31" customFormat="1" ht="15.5" x14ac:dyDescent="0.35">
      <c r="A48" s="5">
        <v>46235</v>
      </c>
      <c r="B48" s="75">
        <v>0</v>
      </c>
      <c r="C48" s="75">
        <v>0</v>
      </c>
      <c r="D48" s="75">
        <v>0</v>
      </c>
      <c r="E48" s="75">
        <v>0</v>
      </c>
      <c r="F48" s="74">
        <v>61739561.214654341</v>
      </c>
      <c r="G48" s="75">
        <v>91565.35319741453</v>
      </c>
      <c r="H48" s="75">
        <v>345268.7361905399</v>
      </c>
      <c r="I48" s="75"/>
      <c r="J48" s="75">
        <v>19585071.588604234</v>
      </c>
      <c r="K48" s="8">
        <v>42154489.626050107</v>
      </c>
      <c r="L48" s="8">
        <v>0</v>
      </c>
      <c r="M48" s="74">
        <v>436834.08938795445</v>
      </c>
      <c r="N48" s="75">
        <v>-122794.062526954</v>
      </c>
      <c r="O48" s="75">
        <v>11972421.096409636</v>
      </c>
      <c r="P48" s="75">
        <v>11849627.033882681</v>
      </c>
      <c r="Q48" s="78">
        <v>30304862.592167426</v>
      </c>
      <c r="R48" s="78">
        <v>235808.85387544421</v>
      </c>
      <c r="S48" s="78">
        <v>0</v>
      </c>
      <c r="T48" s="78">
        <v>672642.94326339872</v>
      </c>
      <c r="U48" s="1"/>
      <c r="V48" s="1"/>
      <c r="W48" s="78">
        <v>62334.698166322749</v>
      </c>
      <c r="AA48" s="38">
        <v>436834.08938795445</v>
      </c>
    </row>
    <row r="49" spans="1:27" s="31" customFormat="1" ht="15.5" x14ac:dyDescent="0.35">
      <c r="A49" s="79">
        <v>46266</v>
      </c>
      <c r="B49" s="80">
        <v>0</v>
      </c>
      <c r="C49" s="80">
        <v>0</v>
      </c>
      <c r="D49" s="80">
        <v>0</v>
      </c>
      <c r="E49" s="80">
        <v>0</v>
      </c>
      <c r="F49" s="81">
        <v>61739561.214654341</v>
      </c>
      <c r="G49" s="80">
        <v>91565.35319741453</v>
      </c>
      <c r="H49" s="80">
        <v>345268.7361905399</v>
      </c>
      <c r="I49" s="80"/>
      <c r="J49" s="80">
        <v>20021905.677992187</v>
      </c>
      <c r="K49" s="82">
        <v>41717655.536662154</v>
      </c>
      <c r="L49" s="82">
        <v>0</v>
      </c>
      <c r="M49" s="81">
        <v>436834.08938795445</v>
      </c>
      <c r="N49" s="80">
        <v>-122794.062526954</v>
      </c>
      <c r="O49" s="80">
        <v>11849627.033882681</v>
      </c>
      <c r="P49" s="80">
        <v>11726832.971355727</v>
      </c>
      <c r="Q49" s="83">
        <v>29990822.565306425</v>
      </c>
      <c r="R49" s="83">
        <v>233365.23880938394</v>
      </c>
      <c r="S49" s="83">
        <v>0</v>
      </c>
      <c r="T49" s="83">
        <v>670199.32819733839</v>
      </c>
      <c r="U49" s="1"/>
      <c r="V49" s="1"/>
      <c r="W49" s="83">
        <v>61688.742744911804</v>
      </c>
      <c r="AA49" s="38">
        <v>436834.08938795445</v>
      </c>
    </row>
    <row r="50" spans="1:27" s="31" customFormat="1" ht="15.5" x14ac:dyDescent="0.35">
      <c r="A50" s="5">
        <v>46296</v>
      </c>
      <c r="B50" s="75">
        <v>0</v>
      </c>
      <c r="C50" s="75">
        <v>0</v>
      </c>
      <c r="D50" s="75">
        <v>0</v>
      </c>
      <c r="E50" s="75">
        <v>0</v>
      </c>
      <c r="F50" s="74">
        <v>61739561.214654341</v>
      </c>
      <c r="G50" s="75">
        <v>91565.35319741453</v>
      </c>
      <c r="H50" s="75">
        <v>345268.7361905399</v>
      </c>
      <c r="I50" s="75"/>
      <c r="J50" s="75">
        <v>20458739.767380141</v>
      </c>
      <c r="K50" s="8">
        <v>41280821.447274201</v>
      </c>
      <c r="L50" s="8">
        <v>0</v>
      </c>
      <c r="M50" s="74">
        <v>436834.08938795445</v>
      </c>
      <c r="N50" s="75">
        <v>-122794.062526954</v>
      </c>
      <c r="O50" s="75">
        <v>11726832.971355727</v>
      </c>
      <c r="P50" s="75">
        <v>11604038.908828773</v>
      </c>
      <c r="Q50" s="78">
        <v>29676782.538445428</v>
      </c>
      <c r="R50" s="78">
        <v>230921.6237433237</v>
      </c>
      <c r="S50" s="78">
        <v>0</v>
      </c>
      <c r="T50" s="78">
        <v>667755.71313127817</v>
      </c>
      <c r="U50" s="1"/>
      <c r="V50" s="1"/>
      <c r="W50" s="78">
        <v>61042.787323500866</v>
      </c>
      <c r="AA50" s="38">
        <v>436834.08938795445</v>
      </c>
    </row>
    <row r="51" spans="1:27" s="31" customFormat="1" ht="15.5" x14ac:dyDescent="0.35">
      <c r="A51" s="5">
        <v>46327</v>
      </c>
      <c r="B51" s="75">
        <v>0</v>
      </c>
      <c r="C51" s="75">
        <v>0</v>
      </c>
      <c r="D51" s="75">
        <v>0</v>
      </c>
      <c r="E51" s="75">
        <v>0</v>
      </c>
      <c r="F51" s="74">
        <v>61739561.214654341</v>
      </c>
      <c r="G51" s="75">
        <v>91565.35319741453</v>
      </c>
      <c r="H51" s="75">
        <v>345268.7361905399</v>
      </c>
      <c r="I51" s="75"/>
      <c r="J51" s="75">
        <v>20895573.856768094</v>
      </c>
      <c r="K51" s="8">
        <v>40843987.357886247</v>
      </c>
      <c r="L51" s="8">
        <v>0</v>
      </c>
      <c r="M51" s="74">
        <v>436834.08938795445</v>
      </c>
      <c r="N51" s="75">
        <v>-122794.062526954</v>
      </c>
      <c r="O51" s="75">
        <v>11604038.908828773</v>
      </c>
      <c r="P51" s="75">
        <v>11481244.846301818</v>
      </c>
      <c r="Q51" s="78">
        <v>29362742.511584431</v>
      </c>
      <c r="R51" s="78">
        <v>228478.00867726348</v>
      </c>
      <c r="S51" s="78">
        <v>0</v>
      </c>
      <c r="T51" s="78">
        <v>665312.09806521796</v>
      </c>
      <c r="U51" s="1"/>
      <c r="V51" s="1"/>
      <c r="W51" s="78">
        <v>60396.831902089914</v>
      </c>
      <c r="AA51" s="38">
        <v>436834.08938795445</v>
      </c>
    </row>
    <row r="52" spans="1:27" s="31" customFormat="1" ht="15.5" x14ac:dyDescent="0.35">
      <c r="A52" s="79">
        <v>46357</v>
      </c>
      <c r="B52" s="80">
        <v>0</v>
      </c>
      <c r="C52" s="80">
        <v>0</v>
      </c>
      <c r="D52" s="80">
        <v>0</v>
      </c>
      <c r="E52" s="80">
        <v>0</v>
      </c>
      <c r="F52" s="81">
        <v>61739561.214654341</v>
      </c>
      <c r="G52" s="80">
        <v>91565.35319741453</v>
      </c>
      <c r="H52" s="80">
        <v>345268.7361905399</v>
      </c>
      <c r="I52" s="80"/>
      <c r="J52" s="80">
        <v>21332407.946156047</v>
      </c>
      <c r="K52" s="82">
        <v>40407153.268498294</v>
      </c>
      <c r="L52" s="82">
        <v>0</v>
      </c>
      <c r="M52" s="81">
        <v>436834.08938795445</v>
      </c>
      <c r="N52" s="80">
        <v>-122794.062526954</v>
      </c>
      <c r="O52" s="80">
        <v>11481244.846301818</v>
      </c>
      <c r="P52" s="80">
        <v>11358450.783774864</v>
      </c>
      <c r="Q52" s="83">
        <v>29048702.48472343</v>
      </c>
      <c r="R52" s="83">
        <v>226034.39361120321</v>
      </c>
      <c r="S52" s="83">
        <v>0</v>
      </c>
      <c r="T52" s="83">
        <v>662868.48299915763</v>
      </c>
      <c r="U52" s="1"/>
      <c r="V52" s="1"/>
      <c r="W52" s="83">
        <v>59750.87648067897</v>
      </c>
      <c r="AA52" s="38">
        <v>436834.08938795445</v>
      </c>
    </row>
    <row r="53" spans="1:27" s="31" customFormat="1" ht="15.5" x14ac:dyDescent="0.35">
      <c r="A53" s="5">
        <v>46388</v>
      </c>
      <c r="B53" s="75">
        <v>0</v>
      </c>
      <c r="C53" s="75">
        <v>0</v>
      </c>
      <c r="D53" s="75">
        <v>0</v>
      </c>
      <c r="E53" s="75">
        <v>0</v>
      </c>
      <c r="F53" s="74">
        <v>61739561.214654341</v>
      </c>
      <c r="G53" s="75">
        <v>91565.35319741453</v>
      </c>
      <c r="H53" s="75">
        <v>345268.7361905399</v>
      </c>
      <c r="I53" s="75"/>
      <c r="J53" s="75">
        <v>21769242.035544001</v>
      </c>
      <c r="K53" s="8">
        <v>39970319.179110341</v>
      </c>
      <c r="L53" s="8">
        <v>0</v>
      </c>
      <c r="M53" s="74">
        <v>436834.08938795445</v>
      </c>
      <c r="N53" s="75">
        <v>-122794.062526954</v>
      </c>
      <c r="O53" s="75">
        <v>11358450.783774864</v>
      </c>
      <c r="P53" s="75">
        <v>11235656.72124791</v>
      </c>
      <c r="Q53" s="78">
        <v>28734662.457862429</v>
      </c>
      <c r="R53" s="78">
        <v>223590.77854514297</v>
      </c>
      <c r="S53" s="78">
        <v>0</v>
      </c>
      <c r="T53" s="78">
        <v>660424.86793309741</v>
      </c>
      <c r="U53" s="1"/>
      <c r="V53" s="1"/>
      <c r="W53" s="78">
        <v>59104.921059268025</v>
      </c>
      <c r="AA53" s="38">
        <v>436834.08938795445</v>
      </c>
    </row>
    <row r="54" spans="1:27" s="31" customFormat="1" ht="15.5" x14ac:dyDescent="0.35">
      <c r="A54" s="5">
        <v>46419</v>
      </c>
      <c r="B54" s="75">
        <v>0</v>
      </c>
      <c r="C54" s="75">
        <v>0</v>
      </c>
      <c r="D54" s="75">
        <v>0</v>
      </c>
      <c r="E54" s="75">
        <v>0</v>
      </c>
      <c r="F54" s="74">
        <v>61739561.214654341</v>
      </c>
      <c r="G54" s="75">
        <v>91565.35319741453</v>
      </c>
      <c r="H54" s="75">
        <v>345268.7361905399</v>
      </c>
      <c r="I54" s="75"/>
      <c r="J54" s="75">
        <v>22206076.124931954</v>
      </c>
      <c r="K54" s="8">
        <v>39533485.089722387</v>
      </c>
      <c r="L54" s="8">
        <v>0</v>
      </c>
      <c r="M54" s="74">
        <v>436834.08938795445</v>
      </c>
      <c r="N54" s="75">
        <v>-122794.062526954</v>
      </c>
      <c r="O54" s="75">
        <v>11235656.72124791</v>
      </c>
      <c r="P54" s="75">
        <v>11112862.658720955</v>
      </c>
      <c r="Q54" s="78">
        <v>28420622.431001432</v>
      </c>
      <c r="R54" s="78">
        <v>221147.16347908272</v>
      </c>
      <c r="S54" s="78">
        <v>0</v>
      </c>
      <c r="T54" s="78">
        <v>657981.2528670372</v>
      </c>
      <c r="U54" s="1"/>
      <c r="V54" s="1"/>
      <c r="W54" s="78">
        <v>58458.965637857087</v>
      </c>
      <c r="AA54" s="38">
        <v>436834.08938795445</v>
      </c>
    </row>
    <row r="55" spans="1:27" s="31" customFormat="1" ht="15.5" x14ac:dyDescent="0.35">
      <c r="A55" s="79">
        <v>46447</v>
      </c>
      <c r="B55" s="80">
        <v>0</v>
      </c>
      <c r="C55" s="80">
        <v>0</v>
      </c>
      <c r="D55" s="80">
        <v>0</v>
      </c>
      <c r="E55" s="80">
        <v>0</v>
      </c>
      <c r="F55" s="81">
        <v>61739561.214654341</v>
      </c>
      <c r="G55" s="80">
        <v>91565.35319741453</v>
      </c>
      <c r="H55" s="80">
        <v>345268.7361905399</v>
      </c>
      <c r="I55" s="80"/>
      <c r="J55" s="80">
        <v>22642910.214319907</v>
      </c>
      <c r="K55" s="82">
        <v>39096651.000334434</v>
      </c>
      <c r="L55" s="82">
        <v>0</v>
      </c>
      <c r="M55" s="81">
        <v>436834.08938795445</v>
      </c>
      <c r="N55" s="80">
        <v>-122794.062526954</v>
      </c>
      <c r="O55" s="80">
        <v>11112862.658720955</v>
      </c>
      <c r="P55" s="80">
        <v>10990068.596194001</v>
      </c>
      <c r="Q55" s="83">
        <v>28106582.404140435</v>
      </c>
      <c r="R55" s="83">
        <v>218703.54841302251</v>
      </c>
      <c r="S55" s="83">
        <v>0</v>
      </c>
      <c r="T55" s="83">
        <v>655537.63780097698</v>
      </c>
      <c r="U55" s="1"/>
      <c r="V55" s="1"/>
      <c r="W55" s="83">
        <v>57813.01021644615</v>
      </c>
      <c r="AA55" s="38">
        <v>436834.08938795445</v>
      </c>
    </row>
    <row r="56" spans="1:27" s="31" customFormat="1" ht="15.5" x14ac:dyDescent="0.35">
      <c r="A56" s="5">
        <v>46478</v>
      </c>
      <c r="B56" s="75">
        <v>0</v>
      </c>
      <c r="C56" s="75">
        <v>0</v>
      </c>
      <c r="D56" s="75">
        <v>0</v>
      </c>
      <c r="E56" s="75">
        <v>0</v>
      </c>
      <c r="F56" s="74">
        <v>61739561.214654341</v>
      </c>
      <c r="G56" s="75">
        <v>91565.35319741453</v>
      </c>
      <c r="H56" s="75">
        <v>345268.7361905399</v>
      </c>
      <c r="I56" s="75"/>
      <c r="J56" s="75">
        <v>23079744.30370786</v>
      </c>
      <c r="K56" s="8">
        <v>38659816.910946481</v>
      </c>
      <c r="L56" s="8">
        <v>0</v>
      </c>
      <c r="M56" s="74">
        <v>436834.08938795445</v>
      </c>
      <c r="N56" s="75">
        <v>-122794.062526954</v>
      </c>
      <c r="O56" s="75">
        <v>10990068.596194001</v>
      </c>
      <c r="P56" s="75">
        <v>10867274.533667047</v>
      </c>
      <c r="Q56" s="78">
        <v>27792542.377279434</v>
      </c>
      <c r="R56" s="78">
        <v>216259.93334696224</v>
      </c>
      <c r="S56" s="78">
        <v>0</v>
      </c>
      <c r="T56" s="78">
        <v>653094.02273491665</v>
      </c>
      <c r="U56" s="1"/>
      <c r="V56" s="1"/>
      <c r="W56" s="78">
        <v>57167.054795035197</v>
      </c>
      <c r="AA56" s="38">
        <v>436834.08938795445</v>
      </c>
    </row>
    <row r="57" spans="1:27" s="31" customFormat="1" ht="15.5" x14ac:dyDescent="0.35">
      <c r="A57" s="5">
        <v>46508</v>
      </c>
      <c r="B57" s="75">
        <v>0</v>
      </c>
      <c r="C57" s="75">
        <v>0</v>
      </c>
      <c r="D57" s="75">
        <v>0</v>
      </c>
      <c r="E57" s="75">
        <v>0</v>
      </c>
      <c r="F57" s="74">
        <v>61739561.214654341</v>
      </c>
      <c r="G57" s="75">
        <v>91565.35319741453</v>
      </c>
      <c r="H57" s="75">
        <v>345268.7361905399</v>
      </c>
      <c r="I57" s="75"/>
      <c r="J57" s="75">
        <v>23516578.393095814</v>
      </c>
      <c r="K57" s="8">
        <v>38222982.821558528</v>
      </c>
      <c r="L57" s="8">
        <v>0</v>
      </c>
      <c r="M57" s="74">
        <v>436834.08938795445</v>
      </c>
      <c r="N57" s="75">
        <v>-122794.062526954</v>
      </c>
      <c r="O57" s="75">
        <v>10867274.533667047</v>
      </c>
      <c r="P57" s="75">
        <v>10744480.471140092</v>
      </c>
      <c r="Q57" s="78">
        <v>27478502.350418434</v>
      </c>
      <c r="R57" s="78">
        <v>213816.31828090196</v>
      </c>
      <c r="S57" s="78">
        <v>0</v>
      </c>
      <c r="T57" s="78">
        <v>650650.40766885644</v>
      </c>
      <c r="U57" s="1"/>
      <c r="V57" s="1"/>
      <c r="W57" s="78">
        <v>56521.099373624253</v>
      </c>
      <c r="AA57" s="38">
        <v>436834.08938795445</v>
      </c>
    </row>
    <row r="58" spans="1:27" s="31" customFormat="1" ht="15.5" x14ac:dyDescent="0.35">
      <c r="A58" s="79">
        <v>46539</v>
      </c>
      <c r="B58" s="80">
        <v>0</v>
      </c>
      <c r="C58" s="80">
        <v>0</v>
      </c>
      <c r="D58" s="80">
        <v>0</v>
      </c>
      <c r="E58" s="80">
        <v>0</v>
      </c>
      <c r="F58" s="81">
        <v>61739561.214654341</v>
      </c>
      <c r="G58" s="80">
        <v>91565.35319741453</v>
      </c>
      <c r="H58" s="80">
        <v>345268.7361905399</v>
      </c>
      <c r="I58" s="80"/>
      <c r="J58" s="80">
        <v>23953412.482483767</v>
      </c>
      <c r="K58" s="82">
        <v>37786148.732170574</v>
      </c>
      <c r="L58" s="82">
        <v>0</v>
      </c>
      <c r="M58" s="81">
        <v>436834.08938795445</v>
      </c>
      <c r="N58" s="80">
        <v>-122794.062526954</v>
      </c>
      <c r="O58" s="80">
        <v>10744480.471140092</v>
      </c>
      <c r="P58" s="80">
        <v>10621686.408613138</v>
      </c>
      <c r="Q58" s="83">
        <v>27164462.323557436</v>
      </c>
      <c r="R58" s="83">
        <v>211372.70321484175</v>
      </c>
      <c r="S58" s="83">
        <v>0</v>
      </c>
      <c r="T58" s="83">
        <v>648206.79260279622</v>
      </c>
      <c r="U58" s="1"/>
      <c r="V58" s="1"/>
      <c r="W58" s="83">
        <v>55875.143952213308</v>
      </c>
      <c r="AA58" s="38">
        <v>436834.08938795445</v>
      </c>
    </row>
    <row r="59" spans="1:27" s="31" customFormat="1" ht="15.5" x14ac:dyDescent="0.35">
      <c r="A59" s="5">
        <v>46569</v>
      </c>
      <c r="B59" s="75">
        <v>0</v>
      </c>
      <c r="C59" s="75">
        <v>0</v>
      </c>
      <c r="D59" s="75">
        <v>0</v>
      </c>
      <c r="E59" s="75">
        <v>0</v>
      </c>
      <c r="F59" s="74">
        <v>61739561.214654341</v>
      </c>
      <c r="G59" s="75">
        <v>91565.35319741453</v>
      </c>
      <c r="H59" s="75">
        <v>345268.7361905399</v>
      </c>
      <c r="I59" s="75"/>
      <c r="J59" s="75">
        <v>24390246.57187172</v>
      </c>
      <c r="K59" s="8">
        <v>37349314.642782621</v>
      </c>
      <c r="L59" s="8">
        <v>0</v>
      </c>
      <c r="M59" s="74">
        <v>436834.08938795445</v>
      </c>
      <c r="N59" s="75">
        <v>-122794.062526954</v>
      </c>
      <c r="O59" s="75">
        <v>10621686.408613138</v>
      </c>
      <c r="P59" s="75">
        <v>10498892.346086184</v>
      </c>
      <c r="Q59" s="78">
        <v>26850422.296696439</v>
      </c>
      <c r="R59" s="78">
        <v>208929.08814878151</v>
      </c>
      <c r="S59" s="78">
        <v>0</v>
      </c>
      <c r="T59" s="78">
        <v>645763.17753673601</v>
      </c>
      <c r="U59" s="1"/>
      <c r="V59" s="1"/>
      <c r="W59" s="78">
        <v>55229.18853080237</v>
      </c>
      <c r="AA59" s="38">
        <v>436834.08938795445</v>
      </c>
    </row>
    <row r="60" spans="1:27" s="31" customFormat="1" ht="15.5" x14ac:dyDescent="0.35">
      <c r="A60" s="5">
        <v>46600</v>
      </c>
      <c r="B60" s="75">
        <v>0</v>
      </c>
      <c r="C60" s="75">
        <v>0</v>
      </c>
      <c r="D60" s="75">
        <v>0</v>
      </c>
      <c r="E60" s="75">
        <v>0</v>
      </c>
      <c r="F60" s="74">
        <v>61739561.214654341</v>
      </c>
      <c r="G60" s="75">
        <v>91565.35319741453</v>
      </c>
      <c r="H60" s="75">
        <v>345268.7361905399</v>
      </c>
      <c r="I60" s="75"/>
      <c r="J60" s="75">
        <v>24827080.661259674</v>
      </c>
      <c r="K60" s="8">
        <v>36912480.553394668</v>
      </c>
      <c r="L60" s="8">
        <v>0</v>
      </c>
      <c r="M60" s="74">
        <v>436834.08938795445</v>
      </c>
      <c r="N60" s="75">
        <v>-122794.062526954</v>
      </c>
      <c r="O60" s="75">
        <v>10498892.346086184</v>
      </c>
      <c r="P60" s="75">
        <v>10376098.283559229</v>
      </c>
      <c r="Q60" s="78">
        <v>26536382.269835439</v>
      </c>
      <c r="R60" s="78">
        <v>206485.47308272126</v>
      </c>
      <c r="S60" s="78">
        <v>0</v>
      </c>
      <c r="T60" s="78">
        <v>643319.56247067568</v>
      </c>
      <c r="U60" s="1"/>
      <c r="V60" s="1"/>
      <c r="W60" s="78">
        <v>54583.233109391418</v>
      </c>
      <c r="AA60" s="38">
        <v>436834.08938795445</v>
      </c>
    </row>
    <row r="61" spans="1:27" s="31" customFormat="1" ht="15.5" x14ac:dyDescent="0.35">
      <c r="A61" s="79">
        <v>46631</v>
      </c>
      <c r="B61" s="80">
        <v>0</v>
      </c>
      <c r="C61" s="80">
        <v>0</v>
      </c>
      <c r="D61" s="80">
        <v>0</v>
      </c>
      <c r="E61" s="80">
        <v>0</v>
      </c>
      <c r="F61" s="81">
        <v>61739561.214654341</v>
      </c>
      <c r="G61" s="80">
        <v>91565.35319741453</v>
      </c>
      <c r="H61" s="80">
        <v>345268.7361905399</v>
      </c>
      <c r="I61" s="80"/>
      <c r="J61" s="80">
        <v>25263914.750647627</v>
      </c>
      <c r="K61" s="82">
        <v>36475646.464006715</v>
      </c>
      <c r="L61" s="82">
        <v>0</v>
      </c>
      <c r="M61" s="81">
        <v>436834.08938795445</v>
      </c>
      <c r="N61" s="80">
        <v>-122794.062526954</v>
      </c>
      <c r="O61" s="80">
        <v>10376098.283559229</v>
      </c>
      <c r="P61" s="80">
        <v>10253304.221032275</v>
      </c>
      <c r="Q61" s="83">
        <v>26222342.242974438</v>
      </c>
      <c r="R61" s="83">
        <v>204041.85801666099</v>
      </c>
      <c r="S61" s="83">
        <v>0</v>
      </c>
      <c r="T61" s="83">
        <v>640875.94740461546</v>
      </c>
      <c r="U61" s="1"/>
      <c r="V61" s="1"/>
      <c r="W61" s="78">
        <v>53937.277687980473</v>
      </c>
      <c r="AA61" s="38">
        <v>436834.08938795445</v>
      </c>
    </row>
    <row r="62" spans="1:27" s="31" customFormat="1" ht="15.5" x14ac:dyDescent="0.35">
      <c r="A62" s="5">
        <v>46661</v>
      </c>
      <c r="B62" s="75">
        <v>0</v>
      </c>
      <c r="C62" s="75">
        <v>0</v>
      </c>
      <c r="D62" s="75">
        <v>0</v>
      </c>
      <c r="E62" s="75">
        <v>0</v>
      </c>
      <c r="F62" s="74">
        <v>61739561.214654341</v>
      </c>
      <c r="G62" s="75">
        <v>91565.35319741453</v>
      </c>
      <c r="H62" s="75">
        <v>345268.7361905399</v>
      </c>
      <c r="I62" s="75"/>
      <c r="J62" s="75">
        <v>25700748.84003558</v>
      </c>
      <c r="K62" s="8">
        <v>36038812.374618761</v>
      </c>
      <c r="L62" s="8">
        <v>0</v>
      </c>
      <c r="M62" s="74">
        <v>436834.08938795445</v>
      </c>
      <c r="N62" s="75">
        <v>-122794.062526954</v>
      </c>
      <c r="O62" s="75">
        <v>10253304.221032275</v>
      </c>
      <c r="P62" s="75">
        <v>10130510.158505321</v>
      </c>
      <c r="Q62" s="78">
        <v>25908302.216113441</v>
      </c>
      <c r="R62" s="78">
        <v>201598.24295060078</v>
      </c>
      <c r="S62" s="78">
        <v>0</v>
      </c>
      <c r="T62" s="78">
        <v>638432.33233855525</v>
      </c>
      <c r="U62" s="1"/>
      <c r="V62" s="1"/>
      <c r="W62" s="78">
        <v>53291.322266569536</v>
      </c>
      <c r="AA62" s="38">
        <v>436834.08938795445</v>
      </c>
    </row>
    <row r="63" spans="1:27" s="31" customFormat="1" ht="15.5" x14ac:dyDescent="0.35">
      <c r="A63" s="5">
        <v>46692</v>
      </c>
      <c r="B63" s="75">
        <v>0</v>
      </c>
      <c r="C63" s="75">
        <v>0</v>
      </c>
      <c r="D63" s="75">
        <v>0</v>
      </c>
      <c r="E63" s="75">
        <v>0</v>
      </c>
      <c r="F63" s="74">
        <v>61739561.214654341</v>
      </c>
      <c r="G63" s="75">
        <v>91565.35319741453</v>
      </c>
      <c r="H63" s="75">
        <v>345268.7361905399</v>
      </c>
      <c r="I63" s="75"/>
      <c r="J63" s="75">
        <v>26137582.929423533</v>
      </c>
      <c r="K63" s="8">
        <v>35601978.285230808</v>
      </c>
      <c r="L63" s="8">
        <v>0</v>
      </c>
      <c r="M63" s="74">
        <v>436834.08938795445</v>
      </c>
      <c r="N63" s="75">
        <v>-122794.062526954</v>
      </c>
      <c r="O63" s="75">
        <v>10130510.158505321</v>
      </c>
      <c r="P63" s="75">
        <v>10007716.095978366</v>
      </c>
      <c r="Q63" s="78">
        <v>25594262.189252444</v>
      </c>
      <c r="R63" s="78">
        <v>199154.62788454053</v>
      </c>
      <c r="S63" s="78">
        <v>0</v>
      </c>
      <c r="T63" s="78">
        <v>635988.71727249492</v>
      </c>
      <c r="U63" s="1"/>
      <c r="V63" s="1"/>
      <c r="W63" s="78">
        <v>52645.366845158598</v>
      </c>
      <c r="AA63" s="38">
        <v>436834.08938795445</v>
      </c>
    </row>
    <row r="64" spans="1:27" s="31" customFormat="1" ht="15.5" x14ac:dyDescent="0.35">
      <c r="A64" s="79">
        <v>46722</v>
      </c>
      <c r="B64" s="80">
        <v>0</v>
      </c>
      <c r="C64" s="80">
        <v>0</v>
      </c>
      <c r="D64" s="80">
        <v>0</v>
      </c>
      <c r="E64" s="80">
        <v>0</v>
      </c>
      <c r="F64" s="81">
        <v>61739561.214654341</v>
      </c>
      <c r="G64" s="80">
        <v>91565.35319741453</v>
      </c>
      <c r="H64" s="80">
        <v>345268.7361905399</v>
      </c>
      <c r="I64" s="80"/>
      <c r="J64" s="80">
        <v>26574417.018811487</v>
      </c>
      <c r="K64" s="82">
        <v>35165144.195842855</v>
      </c>
      <c r="L64" s="82">
        <v>0</v>
      </c>
      <c r="M64" s="81">
        <v>436834.08938795445</v>
      </c>
      <c r="N64" s="80">
        <v>-122794.062526954</v>
      </c>
      <c r="O64" s="80">
        <v>10007716.095978366</v>
      </c>
      <c r="P64" s="80">
        <v>9884922.0334514119</v>
      </c>
      <c r="Q64" s="83">
        <v>25280222.162391443</v>
      </c>
      <c r="R64" s="83">
        <v>196711.01281848026</v>
      </c>
      <c r="S64" s="83">
        <v>0</v>
      </c>
      <c r="T64" s="83">
        <v>633545.10220643471</v>
      </c>
      <c r="U64" s="1"/>
      <c r="V64" s="1"/>
      <c r="W64" s="78">
        <v>51999.411423747653</v>
      </c>
      <c r="AA64" s="38">
        <v>436834.08938795445</v>
      </c>
    </row>
    <row r="65" spans="1:27" s="31" customFormat="1" ht="15.5" x14ac:dyDescent="0.35">
      <c r="A65" s="5">
        <v>46753</v>
      </c>
      <c r="B65" s="75">
        <v>0</v>
      </c>
      <c r="C65" s="75">
        <v>0</v>
      </c>
      <c r="D65" s="75">
        <v>0</v>
      </c>
      <c r="E65" s="75">
        <v>0</v>
      </c>
      <c r="F65" s="74">
        <v>61739561.214654341</v>
      </c>
      <c r="G65" s="75">
        <v>91565.35319741453</v>
      </c>
      <c r="H65" s="75">
        <v>345268.7361905399</v>
      </c>
      <c r="I65" s="75"/>
      <c r="J65" s="75">
        <v>27011251.10819944</v>
      </c>
      <c r="K65" s="8">
        <v>34728310.106454901</v>
      </c>
      <c r="L65" s="8">
        <v>0</v>
      </c>
      <c r="M65" s="74">
        <v>436834.08938795445</v>
      </c>
      <c r="N65" s="75">
        <v>-122794.062526954</v>
      </c>
      <c r="O65" s="75">
        <v>9884922.0334514119</v>
      </c>
      <c r="P65" s="75">
        <v>9762127.9709244575</v>
      </c>
      <c r="Q65" s="78">
        <v>24966182.135530442</v>
      </c>
      <c r="R65" s="78">
        <v>194267.39775242002</v>
      </c>
      <c r="S65" s="78">
        <v>0</v>
      </c>
      <c r="T65" s="78">
        <v>631101.48714037449</v>
      </c>
      <c r="U65" s="1"/>
      <c r="V65" s="1"/>
      <c r="W65" s="78">
        <v>51353.456002336694</v>
      </c>
      <c r="AA65" s="38">
        <v>436834.08938795445</v>
      </c>
    </row>
    <row r="66" spans="1:27" s="31" customFormat="1" ht="15.5" x14ac:dyDescent="0.35">
      <c r="A66" s="5">
        <v>46784</v>
      </c>
      <c r="B66" s="75">
        <v>0</v>
      </c>
      <c r="C66" s="75">
        <v>0</v>
      </c>
      <c r="D66" s="75">
        <v>0</v>
      </c>
      <c r="E66" s="75">
        <v>0</v>
      </c>
      <c r="F66" s="74">
        <v>61739561.214654341</v>
      </c>
      <c r="G66" s="75">
        <v>91565.35319741453</v>
      </c>
      <c r="H66" s="75">
        <v>345268.7361905399</v>
      </c>
      <c r="I66" s="75"/>
      <c r="J66" s="75">
        <v>27448085.197587393</v>
      </c>
      <c r="K66" s="8">
        <v>34291476.017066948</v>
      </c>
      <c r="L66" s="8">
        <v>0</v>
      </c>
      <c r="M66" s="74">
        <v>436834.08938795445</v>
      </c>
      <c r="N66" s="75">
        <v>-122794.062526954</v>
      </c>
      <c r="O66" s="75">
        <v>9762127.9709244575</v>
      </c>
      <c r="P66" s="75">
        <v>9639333.9083975032</v>
      </c>
      <c r="Q66" s="78">
        <v>24652142.108669445</v>
      </c>
      <c r="R66" s="78">
        <v>191823.78268635977</v>
      </c>
      <c r="S66" s="78">
        <v>0</v>
      </c>
      <c r="T66" s="78">
        <v>628657.87207431416</v>
      </c>
      <c r="U66" s="1"/>
      <c r="V66" s="1"/>
      <c r="W66" s="78">
        <v>50707.500580925756</v>
      </c>
      <c r="AA66" s="38">
        <v>436834.08938795445</v>
      </c>
    </row>
    <row r="67" spans="1:27" s="31" customFormat="1" ht="15.5" x14ac:dyDescent="0.35">
      <c r="A67" s="79">
        <v>46813</v>
      </c>
      <c r="B67" s="80">
        <v>0</v>
      </c>
      <c r="C67" s="80">
        <v>0</v>
      </c>
      <c r="D67" s="80">
        <v>0</v>
      </c>
      <c r="E67" s="80">
        <v>0</v>
      </c>
      <c r="F67" s="81">
        <v>61739561.214654341</v>
      </c>
      <c r="G67" s="80">
        <v>91565.35319741453</v>
      </c>
      <c r="H67" s="80">
        <v>345268.7361905399</v>
      </c>
      <c r="I67" s="80"/>
      <c r="J67" s="80">
        <v>27884919.286975347</v>
      </c>
      <c r="K67" s="8">
        <v>33854641.927678995</v>
      </c>
      <c r="L67" s="82">
        <v>0</v>
      </c>
      <c r="M67" s="81">
        <v>436834.08938795445</v>
      </c>
      <c r="N67" s="80">
        <v>-122794.062526954</v>
      </c>
      <c r="O67" s="80">
        <v>9639333.9083975032</v>
      </c>
      <c r="P67" s="80">
        <v>9516539.8458705489</v>
      </c>
      <c r="Q67" s="83">
        <v>24338102.081808448</v>
      </c>
      <c r="R67" s="83">
        <v>189380.16762029956</v>
      </c>
      <c r="S67" s="83">
        <v>0</v>
      </c>
      <c r="T67" s="83">
        <v>626214.25700825406</v>
      </c>
      <c r="U67" s="1"/>
      <c r="V67" s="1"/>
      <c r="W67" s="78">
        <v>50061.545159514819</v>
      </c>
      <c r="AA67" s="38">
        <v>436834.08938795445</v>
      </c>
    </row>
    <row r="68" spans="1:27" s="31" customFormat="1" ht="15.5" x14ac:dyDescent="0.35">
      <c r="A68" s="5">
        <v>46844</v>
      </c>
      <c r="B68" s="75">
        <v>0</v>
      </c>
      <c r="C68" s="75">
        <v>0</v>
      </c>
      <c r="D68" s="75">
        <v>0</v>
      </c>
      <c r="E68" s="75">
        <v>0</v>
      </c>
      <c r="F68" s="74">
        <v>61739561.214654341</v>
      </c>
      <c r="G68" s="75">
        <v>91565.35319741453</v>
      </c>
      <c r="H68" s="75">
        <v>345268.7361905399</v>
      </c>
      <c r="I68" s="75"/>
      <c r="J68" s="75">
        <v>28321753.3763633</v>
      </c>
      <c r="K68" s="8">
        <v>33417807.838291042</v>
      </c>
      <c r="L68" s="8">
        <v>0</v>
      </c>
      <c r="M68" s="74">
        <v>436834.08938795445</v>
      </c>
      <c r="N68" s="75">
        <v>-122794.062526954</v>
      </c>
      <c r="O68" s="75">
        <v>9516539.8458705489</v>
      </c>
      <c r="P68" s="75">
        <v>9393745.7833435945</v>
      </c>
      <c r="Q68" s="78">
        <v>24024062.054947447</v>
      </c>
      <c r="R68" s="78">
        <v>186936.55255423929</v>
      </c>
      <c r="S68" s="78">
        <v>0</v>
      </c>
      <c r="T68" s="78">
        <v>623770.64194219373</v>
      </c>
      <c r="U68" s="1"/>
      <c r="V68" s="1"/>
      <c r="W68" s="78">
        <v>49415.589738103874</v>
      </c>
      <c r="AA68" s="38">
        <v>436834.08938795445</v>
      </c>
    </row>
    <row r="69" spans="1:27" s="31" customFormat="1" ht="15.5" x14ac:dyDescent="0.35">
      <c r="A69" s="5">
        <v>46874</v>
      </c>
      <c r="B69" s="75">
        <v>0</v>
      </c>
      <c r="C69" s="75">
        <v>0</v>
      </c>
      <c r="D69" s="75">
        <v>0</v>
      </c>
      <c r="E69" s="75">
        <v>0</v>
      </c>
      <c r="F69" s="74">
        <v>61739561.214654341</v>
      </c>
      <c r="G69" s="75">
        <v>91565.35319741453</v>
      </c>
      <c r="H69" s="75">
        <v>345268.7361905399</v>
      </c>
      <c r="I69" s="75"/>
      <c r="J69" s="75">
        <v>28758587.465751253</v>
      </c>
      <c r="K69" s="8">
        <v>32980973.748903088</v>
      </c>
      <c r="L69" s="8">
        <v>0</v>
      </c>
      <c r="M69" s="74">
        <v>436834.08938795445</v>
      </c>
      <c r="N69" s="75">
        <v>-122794.062526954</v>
      </c>
      <c r="O69" s="75">
        <v>9393745.7833435945</v>
      </c>
      <c r="P69" s="75">
        <v>9270951.7208166402</v>
      </c>
      <c r="Q69" s="78">
        <v>23710022.028086446</v>
      </c>
      <c r="R69" s="78">
        <v>184492.93748817901</v>
      </c>
      <c r="S69" s="78">
        <v>0</v>
      </c>
      <c r="T69" s="78">
        <v>621327.0268761334</v>
      </c>
      <c r="U69" s="1"/>
      <c r="V69" s="1"/>
      <c r="W69" s="78">
        <v>48769.634316692922</v>
      </c>
      <c r="AA69" s="38">
        <v>436834.08938795445</v>
      </c>
    </row>
    <row r="70" spans="1:27" s="31" customFormat="1" ht="15.5" x14ac:dyDescent="0.35">
      <c r="A70" s="79">
        <v>46905</v>
      </c>
      <c r="B70" s="80">
        <v>0</v>
      </c>
      <c r="C70" s="80">
        <v>0</v>
      </c>
      <c r="D70" s="80">
        <v>0</v>
      </c>
      <c r="E70" s="80">
        <v>0</v>
      </c>
      <c r="F70" s="81">
        <v>61739561.214654341</v>
      </c>
      <c r="G70" s="80">
        <v>91565.35319741453</v>
      </c>
      <c r="H70" s="80">
        <v>345268.7361905399</v>
      </c>
      <c r="I70" s="80"/>
      <c r="J70" s="80">
        <v>29195421.555139206</v>
      </c>
      <c r="K70" s="8">
        <v>32544139.659515135</v>
      </c>
      <c r="L70" s="82">
        <v>0</v>
      </c>
      <c r="M70" s="81">
        <v>436834.08938795445</v>
      </c>
      <c r="N70" s="80">
        <v>-122794.062526954</v>
      </c>
      <c r="O70" s="80">
        <v>9270951.7208166402</v>
      </c>
      <c r="P70" s="80">
        <v>9148157.6582896858</v>
      </c>
      <c r="Q70" s="83">
        <v>23395982.001225449</v>
      </c>
      <c r="R70" s="83">
        <v>182049.3224221188</v>
      </c>
      <c r="S70" s="83">
        <v>0</v>
      </c>
      <c r="T70" s="83">
        <v>618883.4118100733</v>
      </c>
      <c r="U70" s="1"/>
      <c r="V70" s="1"/>
      <c r="W70" s="78">
        <v>48123.678895281984</v>
      </c>
      <c r="AA70" s="38">
        <v>436834.08938795445</v>
      </c>
    </row>
    <row r="71" spans="1:27" s="31" customFormat="1" ht="15.5" x14ac:dyDescent="0.35">
      <c r="A71" s="5">
        <v>46935</v>
      </c>
      <c r="B71" s="75">
        <v>0</v>
      </c>
      <c r="C71" s="75">
        <v>0</v>
      </c>
      <c r="D71" s="75">
        <v>0</v>
      </c>
      <c r="E71" s="75">
        <v>0</v>
      </c>
      <c r="F71" s="74">
        <v>61739561.214654341</v>
      </c>
      <c r="G71" s="75">
        <v>91565.35319741453</v>
      </c>
      <c r="H71" s="75">
        <v>345268.7361905399</v>
      </c>
      <c r="I71" s="75"/>
      <c r="J71" s="75">
        <v>29632255.64452716</v>
      </c>
      <c r="K71" s="8">
        <v>32107305.570127182</v>
      </c>
      <c r="L71" s="8">
        <v>0</v>
      </c>
      <c r="M71" s="74">
        <v>436834.08938795445</v>
      </c>
      <c r="N71" s="75">
        <v>-122794.062526954</v>
      </c>
      <c r="O71" s="75">
        <v>9148157.6582896858</v>
      </c>
      <c r="P71" s="75">
        <v>9025363.5957627315</v>
      </c>
      <c r="Q71" s="78">
        <v>23081941.974364452</v>
      </c>
      <c r="R71" s="78">
        <v>179605.70735605856</v>
      </c>
      <c r="S71" s="78">
        <v>0</v>
      </c>
      <c r="T71" s="78">
        <v>616439.79674401297</v>
      </c>
      <c r="U71" s="1"/>
      <c r="V71" s="1"/>
      <c r="W71" s="78">
        <v>47477.723473871039</v>
      </c>
      <c r="AA71" s="38">
        <v>436834.08938795445</v>
      </c>
    </row>
    <row r="72" spans="1:27" s="31" customFormat="1" ht="15.5" x14ac:dyDescent="0.35">
      <c r="A72" s="5">
        <v>46966</v>
      </c>
      <c r="B72" s="75">
        <v>0</v>
      </c>
      <c r="C72" s="75">
        <v>0</v>
      </c>
      <c r="D72" s="75">
        <v>0</v>
      </c>
      <c r="E72" s="75">
        <v>0</v>
      </c>
      <c r="F72" s="74">
        <v>61739561.214654341</v>
      </c>
      <c r="G72" s="75">
        <v>91565.35319741453</v>
      </c>
      <c r="H72" s="75">
        <v>345268.7361905399</v>
      </c>
      <c r="I72" s="75"/>
      <c r="J72" s="75">
        <v>30069089.733915113</v>
      </c>
      <c r="K72" s="8">
        <v>31670471.480739228</v>
      </c>
      <c r="L72" s="8">
        <v>0</v>
      </c>
      <c r="M72" s="74">
        <v>436834.08938795445</v>
      </c>
      <c r="N72" s="75">
        <v>-122794.062526954</v>
      </c>
      <c r="O72" s="75">
        <v>9025363.5957627315</v>
      </c>
      <c r="P72" s="75">
        <v>8902569.5332357772</v>
      </c>
      <c r="Q72" s="78">
        <v>22767901.947503451</v>
      </c>
      <c r="R72" s="78">
        <v>177162.09228999831</v>
      </c>
      <c r="S72" s="78">
        <v>0</v>
      </c>
      <c r="T72" s="78">
        <v>613996.18167795276</v>
      </c>
      <c r="U72" s="1"/>
      <c r="V72" s="1"/>
      <c r="W72" s="78">
        <v>46831.768052460095</v>
      </c>
      <c r="AA72" s="38">
        <v>436834.08938795445</v>
      </c>
    </row>
    <row r="73" spans="1:27" s="31" customFormat="1" ht="15.5" x14ac:dyDescent="0.35">
      <c r="A73" s="79">
        <v>46997</v>
      </c>
      <c r="B73" s="80">
        <v>0</v>
      </c>
      <c r="C73" s="80">
        <v>0</v>
      </c>
      <c r="D73" s="80">
        <v>0</v>
      </c>
      <c r="E73" s="80">
        <v>0</v>
      </c>
      <c r="F73" s="81">
        <v>61739561.214654341</v>
      </c>
      <c r="G73" s="80">
        <v>91565.35319741453</v>
      </c>
      <c r="H73" s="80">
        <v>345268.7361905399</v>
      </c>
      <c r="I73" s="80"/>
      <c r="J73" s="80">
        <v>30505923.823303066</v>
      </c>
      <c r="K73" s="8">
        <v>31233637.391351275</v>
      </c>
      <c r="L73" s="82">
        <v>0</v>
      </c>
      <c r="M73" s="81">
        <v>436834.08938795445</v>
      </c>
      <c r="N73" s="80">
        <v>-122794.062526954</v>
      </c>
      <c r="O73" s="80">
        <v>8902569.5332357772</v>
      </c>
      <c r="P73" s="80">
        <v>8779775.4707088228</v>
      </c>
      <c r="Q73" s="83">
        <v>22453861.92064245</v>
      </c>
      <c r="R73" s="83">
        <v>174718.47722393804</v>
      </c>
      <c r="S73" s="83">
        <v>0</v>
      </c>
      <c r="T73" s="83">
        <v>611552.56661189254</v>
      </c>
      <c r="U73" s="1"/>
      <c r="V73" s="1"/>
      <c r="W73" s="78">
        <v>46185.812631049143</v>
      </c>
      <c r="AA73" s="38">
        <v>436834.08938795445</v>
      </c>
    </row>
    <row r="74" spans="1:27" s="31" customFormat="1" ht="15.5" x14ac:dyDescent="0.35">
      <c r="A74" s="5">
        <v>47027</v>
      </c>
      <c r="B74" s="75">
        <v>0</v>
      </c>
      <c r="C74" s="75">
        <v>0</v>
      </c>
      <c r="D74" s="75">
        <v>0</v>
      </c>
      <c r="E74" s="75">
        <v>0</v>
      </c>
      <c r="F74" s="74">
        <v>61739561.214654341</v>
      </c>
      <c r="G74" s="75">
        <v>91565.35319741453</v>
      </c>
      <c r="H74" s="75">
        <v>345268.7361905399</v>
      </c>
      <c r="I74" s="75"/>
      <c r="J74" s="75">
        <v>30942757.912691019</v>
      </c>
      <c r="K74" s="8">
        <v>30796803.301963322</v>
      </c>
      <c r="L74" s="8">
        <v>0</v>
      </c>
      <c r="M74" s="74">
        <v>436834.08938795445</v>
      </c>
      <c r="N74" s="75">
        <v>-122794.062526954</v>
      </c>
      <c r="O74" s="75">
        <v>8779775.4707088228</v>
      </c>
      <c r="P74" s="75">
        <v>8656981.4081818685</v>
      </c>
      <c r="Q74" s="78">
        <v>22139821.893781453</v>
      </c>
      <c r="R74" s="78">
        <v>172274.86215787783</v>
      </c>
      <c r="S74" s="78">
        <v>0</v>
      </c>
      <c r="T74" s="78">
        <v>609108.95154583221</v>
      </c>
      <c r="U74" s="1"/>
      <c r="V74" s="1"/>
      <c r="W74" s="78">
        <v>45539.857209638205</v>
      </c>
      <c r="AA74" s="38">
        <v>436834.08938795445</v>
      </c>
    </row>
    <row r="75" spans="1:27" s="31" customFormat="1" ht="15.5" x14ac:dyDescent="0.35">
      <c r="A75" s="5">
        <v>47058</v>
      </c>
      <c r="B75" s="75">
        <v>0</v>
      </c>
      <c r="C75" s="75">
        <v>0</v>
      </c>
      <c r="D75" s="75">
        <v>0</v>
      </c>
      <c r="E75" s="75">
        <v>0</v>
      </c>
      <c r="F75" s="74">
        <v>61739561.214654341</v>
      </c>
      <c r="G75" s="75">
        <v>91565.35319741453</v>
      </c>
      <c r="H75" s="75">
        <v>345268.7361905399</v>
      </c>
      <c r="I75" s="75"/>
      <c r="J75" s="75">
        <v>31379592.002078973</v>
      </c>
      <c r="K75" s="8">
        <v>30359969.212575369</v>
      </c>
      <c r="L75" s="8">
        <v>0</v>
      </c>
      <c r="M75" s="74">
        <v>436834.08938795445</v>
      </c>
      <c r="N75" s="75">
        <v>-122794.062526954</v>
      </c>
      <c r="O75" s="75">
        <v>8656981.4081818685</v>
      </c>
      <c r="P75" s="75">
        <v>8534187.3456549142</v>
      </c>
      <c r="Q75" s="78">
        <v>21825781.866920456</v>
      </c>
      <c r="R75" s="78">
        <v>169831.24709181758</v>
      </c>
      <c r="S75" s="78">
        <v>0</v>
      </c>
      <c r="T75" s="78">
        <v>606665.336479772</v>
      </c>
      <c r="U75" s="1"/>
      <c r="V75" s="1"/>
      <c r="W75" s="78">
        <v>44893.901788227267</v>
      </c>
      <c r="AA75" s="38">
        <v>436834.08938795445</v>
      </c>
    </row>
    <row r="76" spans="1:27" s="31" customFormat="1" ht="15.5" x14ac:dyDescent="0.35">
      <c r="A76" s="79">
        <v>47088</v>
      </c>
      <c r="B76" s="80">
        <v>0</v>
      </c>
      <c r="C76" s="80">
        <v>0</v>
      </c>
      <c r="D76" s="80">
        <v>0</v>
      </c>
      <c r="E76" s="80">
        <v>0</v>
      </c>
      <c r="F76" s="81">
        <v>61739561.214654341</v>
      </c>
      <c r="G76" s="80">
        <v>91565.35319741453</v>
      </c>
      <c r="H76" s="80">
        <v>345268.7361905399</v>
      </c>
      <c r="I76" s="80"/>
      <c r="J76" s="80">
        <v>31816426.091466926</v>
      </c>
      <c r="K76" s="8">
        <v>29923135.123187415</v>
      </c>
      <c r="L76" s="82">
        <v>0</v>
      </c>
      <c r="M76" s="81">
        <v>436834.08938795445</v>
      </c>
      <c r="N76" s="80">
        <v>-122794.062526954</v>
      </c>
      <c r="O76" s="80">
        <v>8534187.3456549142</v>
      </c>
      <c r="P76" s="80">
        <v>8411393.2831279598</v>
      </c>
      <c r="Q76" s="83">
        <v>21511741.840059455</v>
      </c>
      <c r="R76" s="83">
        <v>167387.63202575731</v>
      </c>
      <c r="S76" s="83">
        <v>0</v>
      </c>
      <c r="T76" s="83">
        <v>604221.72141371178</v>
      </c>
      <c r="U76" s="1"/>
      <c r="V76" s="1"/>
      <c r="W76" s="78">
        <v>44247.946366816323</v>
      </c>
      <c r="AA76" s="38">
        <v>436834.08938795445</v>
      </c>
    </row>
    <row r="77" spans="1:27" s="31" customFormat="1" ht="15.5" x14ac:dyDescent="0.35">
      <c r="A77" s="5">
        <v>47119</v>
      </c>
      <c r="B77" s="75">
        <v>0</v>
      </c>
      <c r="C77" s="75">
        <v>0</v>
      </c>
      <c r="D77" s="75">
        <v>0</v>
      </c>
      <c r="E77" s="75">
        <v>0</v>
      </c>
      <c r="F77" s="74">
        <v>61739561.214654341</v>
      </c>
      <c r="G77" s="75">
        <v>91565.35319741453</v>
      </c>
      <c r="H77" s="75">
        <v>345268.7361905399</v>
      </c>
      <c r="I77" s="75"/>
      <c r="J77" s="75">
        <v>32253260.180854879</v>
      </c>
      <c r="K77" s="8">
        <v>29486301.033799462</v>
      </c>
      <c r="L77" s="8">
        <v>0</v>
      </c>
      <c r="M77" s="74">
        <v>436834.08938795445</v>
      </c>
      <c r="N77" s="75">
        <v>-122794.062526954</v>
      </c>
      <c r="O77" s="75">
        <v>8411393.2831279598</v>
      </c>
      <c r="P77" s="75">
        <v>8288599.2206010055</v>
      </c>
      <c r="Q77" s="78">
        <v>21197701.813198455</v>
      </c>
      <c r="R77" s="78">
        <v>164944.01695969707</v>
      </c>
      <c r="S77" s="78">
        <v>0</v>
      </c>
      <c r="T77" s="78">
        <v>601778.10634765145</v>
      </c>
      <c r="U77" s="1"/>
      <c r="V77" s="1"/>
      <c r="W77" s="78">
        <v>43601.99094540537</v>
      </c>
      <c r="AA77" s="38">
        <v>436834.08938795445</v>
      </c>
    </row>
    <row r="78" spans="1:27" s="31" customFormat="1" ht="15.5" x14ac:dyDescent="0.35">
      <c r="A78" s="5">
        <v>47150</v>
      </c>
      <c r="B78" s="75">
        <v>0</v>
      </c>
      <c r="C78" s="75">
        <v>0</v>
      </c>
      <c r="D78" s="75">
        <v>0</v>
      </c>
      <c r="E78" s="75">
        <v>0</v>
      </c>
      <c r="F78" s="74">
        <v>61739561.214654341</v>
      </c>
      <c r="G78" s="75">
        <v>91565.35319741453</v>
      </c>
      <c r="H78" s="75">
        <v>345268.7361905399</v>
      </c>
      <c r="I78" s="75"/>
      <c r="J78" s="75">
        <v>32690094.270242833</v>
      </c>
      <c r="K78" s="8">
        <v>29049466.944411509</v>
      </c>
      <c r="L78" s="8">
        <v>0</v>
      </c>
      <c r="M78" s="74">
        <v>436834.08938795445</v>
      </c>
      <c r="N78" s="75">
        <v>-122794.062526954</v>
      </c>
      <c r="O78" s="75">
        <v>8288599.2206010055</v>
      </c>
      <c r="P78" s="75">
        <v>8165805.1580740511</v>
      </c>
      <c r="Q78" s="78">
        <v>20883661.786337458</v>
      </c>
      <c r="R78" s="78">
        <v>162500.40189363682</v>
      </c>
      <c r="S78" s="78">
        <v>0</v>
      </c>
      <c r="T78" s="78">
        <v>599334.49128159124</v>
      </c>
      <c r="U78" s="1"/>
      <c r="V78" s="1"/>
      <c r="W78" s="78">
        <v>42956.035523994433</v>
      </c>
      <c r="AA78" s="38">
        <v>436834.08938795445</v>
      </c>
    </row>
    <row r="79" spans="1:27" s="31" customFormat="1" ht="15.5" x14ac:dyDescent="0.35">
      <c r="A79" s="79">
        <v>47178</v>
      </c>
      <c r="B79" s="80">
        <v>0</v>
      </c>
      <c r="C79" s="80">
        <v>0</v>
      </c>
      <c r="D79" s="80">
        <v>0</v>
      </c>
      <c r="E79" s="80">
        <v>0</v>
      </c>
      <c r="F79" s="81">
        <v>61739561.214654341</v>
      </c>
      <c r="G79" s="80">
        <v>91565.35319741453</v>
      </c>
      <c r="H79" s="80">
        <v>345268.7361905399</v>
      </c>
      <c r="I79" s="80"/>
      <c r="J79" s="80">
        <v>33126928.359630786</v>
      </c>
      <c r="K79" s="8">
        <v>28612632.855023555</v>
      </c>
      <c r="L79" s="82">
        <v>0</v>
      </c>
      <c r="M79" s="81">
        <v>436834.08938795445</v>
      </c>
      <c r="N79" s="80">
        <v>-122794.062526954</v>
      </c>
      <c r="O79" s="80">
        <v>8165805.1580740511</v>
      </c>
      <c r="P79" s="80">
        <v>8043011.0955470968</v>
      </c>
      <c r="Q79" s="83">
        <v>20569621.759476461</v>
      </c>
      <c r="R79" s="83">
        <v>160056.78682757661</v>
      </c>
      <c r="S79" s="83">
        <v>0</v>
      </c>
      <c r="T79" s="83">
        <v>596890.87621553103</v>
      </c>
      <c r="U79" s="1"/>
      <c r="V79" s="1"/>
      <c r="W79" s="78">
        <v>42310.080102583488</v>
      </c>
      <c r="AA79" s="38">
        <v>436834.08938795445</v>
      </c>
    </row>
    <row r="80" spans="1:27" s="31" customFormat="1" ht="15.5" x14ac:dyDescent="0.35">
      <c r="A80" s="5">
        <v>47209</v>
      </c>
      <c r="B80" s="75">
        <v>0</v>
      </c>
      <c r="C80" s="75">
        <v>0</v>
      </c>
      <c r="D80" s="75">
        <v>0</v>
      </c>
      <c r="E80" s="75">
        <v>0</v>
      </c>
      <c r="F80" s="74">
        <v>61739561.214654341</v>
      </c>
      <c r="G80" s="75">
        <v>91565.35319741453</v>
      </c>
      <c r="H80" s="75">
        <v>345268.7361905399</v>
      </c>
      <c r="I80" s="75"/>
      <c r="J80" s="75">
        <v>33563762.449018739</v>
      </c>
      <c r="K80" s="8">
        <v>28175798.765635602</v>
      </c>
      <c r="L80" s="8">
        <v>0</v>
      </c>
      <c r="M80" s="74">
        <v>436834.08938795445</v>
      </c>
      <c r="N80" s="75">
        <v>-122794.062526954</v>
      </c>
      <c r="O80" s="75">
        <v>8043011.0955470968</v>
      </c>
      <c r="P80" s="75">
        <v>7920217.0330201425</v>
      </c>
      <c r="Q80" s="78">
        <v>20255581.73261546</v>
      </c>
      <c r="R80" s="78">
        <v>157613.17176151634</v>
      </c>
      <c r="S80" s="78">
        <v>0</v>
      </c>
      <c r="T80" s="78">
        <v>594447.26114947081</v>
      </c>
      <c r="U80" s="1"/>
      <c r="V80" s="1"/>
      <c r="W80" s="78">
        <v>41664.124681172543</v>
      </c>
      <c r="AA80" s="38">
        <v>436834.08938795445</v>
      </c>
    </row>
    <row r="81" spans="1:27" s="31" customFormat="1" ht="15.5" x14ac:dyDescent="0.35">
      <c r="A81" s="5">
        <v>47239</v>
      </c>
      <c r="B81" s="75">
        <v>0</v>
      </c>
      <c r="C81" s="75">
        <v>0</v>
      </c>
      <c r="D81" s="75">
        <v>0</v>
      </c>
      <c r="E81" s="75">
        <v>0</v>
      </c>
      <c r="F81" s="74">
        <v>61739561.214654341</v>
      </c>
      <c r="G81" s="75">
        <v>91565.35319741453</v>
      </c>
      <c r="H81" s="75">
        <v>345268.7361905399</v>
      </c>
      <c r="I81" s="75"/>
      <c r="J81" s="75">
        <v>34000596.5384067</v>
      </c>
      <c r="K81" s="8">
        <v>27738964.676247641</v>
      </c>
      <c r="L81" s="8">
        <v>0</v>
      </c>
      <c r="M81" s="74">
        <v>436834.08938795445</v>
      </c>
      <c r="N81" s="75">
        <v>-122794.062526954</v>
      </c>
      <c r="O81" s="75">
        <v>7920217.0330201425</v>
      </c>
      <c r="P81" s="75">
        <v>7797422.9704931881</v>
      </c>
      <c r="Q81" s="78">
        <v>19941541.705754451</v>
      </c>
      <c r="R81" s="78">
        <v>155169.55669545603</v>
      </c>
      <c r="S81" s="78">
        <v>0</v>
      </c>
      <c r="T81" s="78">
        <v>592003.64608341048</v>
      </c>
      <c r="U81" s="1"/>
      <c r="V81" s="1"/>
      <c r="W81" s="78">
        <v>41018.169259761584</v>
      </c>
      <c r="AA81" s="38">
        <v>436834.08938795445</v>
      </c>
    </row>
    <row r="82" spans="1:27" s="31" customFormat="1" ht="15.5" x14ac:dyDescent="0.35">
      <c r="A82" s="79">
        <v>47270</v>
      </c>
      <c r="B82" s="80">
        <v>0</v>
      </c>
      <c r="C82" s="80">
        <v>0</v>
      </c>
      <c r="D82" s="80">
        <v>0</v>
      </c>
      <c r="E82" s="80">
        <v>0</v>
      </c>
      <c r="F82" s="81">
        <v>61739561.214654341</v>
      </c>
      <c r="G82" s="80">
        <v>91565.35319741453</v>
      </c>
      <c r="H82" s="80">
        <v>345268.7361905399</v>
      </c>
      <c r="I82" s="80"/>
      <c r="J82" s="80">
        <v>34437430.627794661</v>
      </c>
      <c r="K82" s="8">
        <v>27302130.586859681</v>
      </c>
      <c r="L82" s="82">
        <v>0</v>
      </c>
      <c r="M82" s="81">
        <v>436834.08938795445</v>
      </c>
      <c r="N82" s="80">
        <v>-122794.062526954</v>
      </c>
      <c r="O82" s="80">
        <v>7797422.9704931881</v>
      </c>
      <c r="P82" s="80">
        <v>7674628.9079662338</v>
      </c>
      <c r="Q82" s="83">
        <v>19627501.678893447</v>
      </c>
      <c r="R82" s="83">
        <v>152725.94162939573</v>
      </c>
      <c r="S82" s="83">
        <v>0</v>
      </c>
      <c r="T82" s="83">
        <v>589560.03101735015</v>
      </c>
      <c r="U82" s="1"/>
      <c r="V82" s="1"/>
      <c r="W82" s="78">
        <v>40372.213838350624</v>
      </c>
      <c r="AA82" s="38">
        <v>436834.08938795445</v>
      </c>
    </row>
    <row r="83" spans="1:27" s="31" customFormat="1" ht="15.5" x14ac:dyDescent="0.35">
      <c r="A83" s="5">
        <v>47300</v>
      </c>
      <c r="B83" s="75">
        <v>0</v>
      </c>
      <c r="C83" s="75">
        <v>0</v>
      </c>
      <c r="D83" s="75">
        <v>0</v>
      </c>
      <c r="E83" s="75">
        <v>0</v>
      </c>
      <c r="F83" s="74">
        <v>61739561.214654341</v>
      </c>
      <c r="G83" s="75">
        <v>91565.35319741453</v>
      </c>
      <c r="H83" s="75">
        <v>345268.7361905399</v>
      </c>
      <c r="I83" s="75"/>
      <c r="J83" s="75">
        <v>34874264.717182621</v>
      </c>
      <c r="K83" s="8">
        <v>26865296.49747172</v>
      </c>
      <c r="L83" s="8">
        <v>0</v>
      </c>
      <c r="M83" s="74">
        <v>436834.08938795445</v>
      </c>
      <c r="N83" s="75">
        <v>-122794.062526954</v>
      </c>
      <c r="O83" s="75">
        <v>7674628.9079662338</v>
      </c>
      <c r="P83" s="75">
        <v>7551834.8454392795</v>
      </c>
      <c r="Q83" s="78">
        <v>19313461.652032442</v>
      </c>
      <c r="R83" s="78">
        <v>150282.32656333543</v>
      </c>
      <c r="S83" s="78">
        <v>0</v>
      </c>
      <c r="T83" s="78">
        <v>587116.41595128994</v>
      </c>
      <c r="U83" s="1"/>
      <c r="V83" s="1"/>
      <c r="W83" s="78">
        <v>39726.258416939672</v>
      </c>
      <c r="AA83" s="38">
        <v>436834.08938795445</v>
      </c>
    </row>
    <row r="84" spans="1:27" s="31" customFormat="1" ht="15.5" x14ac:dyDescent="0.35">
      <c r="A84" s="5">
        <v>47331</v>
      </c>
      <c r="B84" s="75">
        <v>0</v>
      </c>
      <c r="C84" s="75">
        <v>0</v>
      </c>
      <c r="D84" s="75">
        <v>0</v>
      </c>
      <c r="E84" s="75">
        <v>0</v>
      </c>
      <c r="F84" s="74">
        <v>61739561.214654341</v>
      </c>
      <c r="G84" s="75">
        <v>91565.35319741453</v>
      </c>
      <c r="H84" s="75">
        <v>345268.7361905399</v>
      </c>
      <c r="I84" s="75"/>
      <c r="J84" s="75">
        <v>35311098.806570582</v>
      </c>
      <c r="K84" s="8">
        <v>26428462.408083759</v>
      </c>
      <c r="L84" s="8">
        <v>0</v>
      </c>
      <c r="M84" s="74">
        <v>436834.08938795445</v>
      </c>
      <c r="N84" s="75">
        <v>-122794.062526954</v>
      </c>
      <c r="O84" s="75">
        <v>7551834.8454392795</v>
      </c>
      <c r="P84" s="75">
        <v>7429040.7829123251</v>
      </c>
      <c r="Q84" s="78">
        <v>18999421.625171434</v>
      </c>
      <c r="R84" s="78">
        <v>147838.71149727513</v>
      </c>
      <c r="S84" s="78">
        <v>0</v>
      </c>
      <c r="T84" s="78">
        <v>584672.8008852296</v>
      </c>
      <c r="U84" s="1"/>
      <c r="V84" s="1"/>
      <c r="W84" s="78">
        <v>39080.302995528713</v>
      </c>
      <c r="AA84" s="38">
        <v>436834.08938795445</v>
      </c>
    </row>
    <row r="85" spans="1:27" s="31" customFormat="1" ht="15.5" x14ac:dyDescent="0.35">
      <c r="A85" s="79">
        <v>47362</v>
      </c>
      <c r="B85" s="80">
        <v>0</v>
      </c>
      <c r="C85" s="80">
        <v>0</v>
      </c>
      <c r="D85" s="80">
        <v>0</v>
      </c>
      <c r="E85" s="80">
        <v>0</v>
      </c>
      <c r="F85" s="81">
        <v>61739561.214654341</v>
      </c>
      <c r="G85" s="80">
        <v>91565.35319741453</v>
      </c>
      <c r="H85" s="80">
        <v>345268.7361905399</v>
      </c>
      <c r="I85" s="80"/>
      <c r="J85" s="80">
        <v>35747932.895958543</v>
      </c>
      <c r="K85" s="8">
        <v>25991628.318695799</v>
      </c>
      <c r="L85" s="82">
        <v>0</v>
      </c>
      <c r="M85" s="81">
        <v>436834.08938795445</v>
      </c>
      <c r="N85" s="80">
        <v>-122794.062526954</v>
      </c>
      <c r="O85" s="80">
        <v>7429040.7829123251</v>
      </c>
      <c r="P85" s="80">
        <v>7306246.7203853708</v>
      </c>
      <c r="Q85" s="83">
        <v>18685381.598310426</v>
      </c>
      <c r="R85" s="83">
        <v>145395.0964312148</v>
      </c>
      <c r="S85" s="83">
        <v>0</v>
      </c>
      <c r="T85" s="83">
        <v>582229.18581916927</v>
      </c>
      <c r="U85" s="1"/>
      <c r="V85" s="1"/>
      <c r="W85" s="78">
        <v>38434.347574117746</v>
      </c>
      <c r="AA85" s="38">
        <v>436834.08938795445</v>
      </c>
    </row>
    <row r="86" spans="1:27" s="31" customFormat="1" ht="15.5" x14ac:dyDescent="0.35">
      <c r="A86" s="5">
        <v>47392</v>
      </c>
      <c r="B86" s="75">
        <v>0</v>
      </c>
      <c r="C86" s="75">
        <v>0</v>
      </c>
      <c r="D86" s="75">
        <v>0</v>
      </c>
      <c r="E86" s="75">
        <v>0</v>
      </c>
      <c r="F86" s="74">
        <v>61739561.214654341</v>
      </c>
      <c r="G86" s="75">
        <v>91565.35319741453</v>
      </c>
      <c r="H86" s="75">
        <v>345268.7361905399</v>
      </c>
      <c r="I86" s="75"/>
      <c r="J86" s="75">
        <v>36184766.985346504</v>
      </c>
      <c r="K86" s="8">
        <v>25554794.229307838</v>
      </c>
      <c r="L86" s="8">
        <v>0</v>
      </c>
      <c r="M86" s="74">
        <v>436834.08938795445</v>
      </c>
      <c r="N86" s="75">
        <v>-122794.062526954</v>
      </c>
      <c r="O86" s="75">
        <v>7306246.7203853708</v>
      </c>
      <c r="P86" s="75">
        <v>7183452.6578584164</v>
      </c>
      <c r="Q86" s="78">
        <v>18371341.571449421</v>
      </c>
      <c r="R86" s="78">
        <v>142951.48136515453</v>
      </c>
      <c r="S86" s="78">
        <v>0</v>
      </c>
      <c r="T86" s="78">
        <v>579785.57075310894</v>
      </c>
      <c r="U86" s="1"/>
      <c r="V86" s="1"/>
      <c r="W86" s="78">
        <v>37788.392152706794</v>
      </c>
      <c r="AA86" s="38">
        <v>436834.08938795445</v>
      </c>
    </row>
    <row r="87" spans="1:27" s="31" customFormat="1" ht="15.5" x14ac:dyDescent="0.35">
      <c r="A87" s="5">
        <v>47423</v>
      </c>
      <c r="B87" s="75">
        <v>0</v>
      </c>
      <c r="C87" s="75">
        <v>0</v>
      </c>
      <c r="D87" s="75">
        <v>0</v>
      </c>
      <c r="E87" s="75">
        <v>0</v>
      </c>
      <c r="F87" s="74">
        <v>61739561.214654341</v>
      </c>
      <c r="G87" s="75">
        <v>91565.35319741453</v>
      </c>
      <c r="H87" s="75">
        <v>345268.7361905399</v>
      </c>
      <c r="I87" s="75"/>
      <c r="J87" s="75">
        <v>36621601.074734464</v>
      </c>
      <c r="K87" s="8">
        <v>25117960.139919877</v>
      </c>
      <c r="L87" s="8">
        <v>0</v>
      </c>
      <c r="M87" s="74">
        <v>436834.08938795445</v>
      </c>
      <c r="N87" s="75">
        <v>-122794.062526954</v>
      </c>
      <c r="O87" s="75">
        <v>7183452.6578584164</v>
      </c>
      <c r="P87" s="75">
        <v>7060658.5953314621</v>
      </c>
      <c r="Q87" s="78">
        <v>18057301.544588417</v>
      </c>
      <c r="R87" s="78">
        <v>140507.86629909422</v>
      </c>
      <c r="S87" s="78">
        <v>0</v>
      </c>
      <c r="T87" s="78">
        <v>577341.95568704861</v>
      </c>
      <c r="U87" s="1"/>
      <c r="V87" s="1"/>
      <c r="W87" s="78">
        <v>37142.436731295835</v>
      </c>
      <c r="AA87" s="38">
        <v>436834.08938795445</v>
      </c>
    </row>
    <row r="88" spans="1:27" s="31" customFormat="1" ht="15.5" x14ac:dyDescent="0.35">
      <c r="A88" s="79">
        <v>47453</v>
      </c>
      <c r="B88" s="80">
        <v>0</v>
      </c>
      <c r="C88" s="80">
        <v>0</v>
      </c>
      <c r="D88" s="80">
        <v>0</v>
      </c>
      <c r="E88" s="80">
        <v>0</v>
      </c>
      <c r="F88" s="81">
        <v>61739561.214654341</v>
      </c>
      <c r="G88" s="80">
        <v>91565.35319741453</v>
      </c>
      <c r="H88" s="80">
        <v>345268.7361905399</v>
      </c>
      <c r="I88" s="80"/>
      <c r="J88" s="80">
        <v>37058435.164122425</v>
      </c>
      <c r="K88" s="8">
        <v>24681126.050531916</v>
      </c>
      <c r="L88" s="82">
        <v>0</v>
      </c>
      <c r="M88" s="81">
        <v>436834.08938795445</v>
      </c>
      <c r="N88" s="80">
        <v>-122794.062526954</v>
      </c>
      <c r="O88" s="80">
        <v>7060658.5953314621</v>
      </c>
      <c r="P88" s="80">
        <v>6937864.5328045078</v>
      </c>
      <c r="Q88" s="83">
        <v>17743261.517727409</v>
      </c>
      <c r="R88" s="83">
        <v>138064.25123303392</v>
      </c>
      <c r="S88" s="83">
        <v>0</v>
      </c>
      <c r="T88" s="83">
        <v>574898.3406209884</v>
      </c>
      <c r="U88" s="1"/>
      <c r="V88" s="1"/>
      <c r="W88" s="78">
        <v>36496.481309884875</v>
      </c>
      <c r="AA88" s="38">
        <v>436834.08938795445</v>
      </c>
    </row>
    <row r="89" spans="1:27" s="31" customFormat="1" ht="15.5" x14ac:dyDescent="0.35">
      <c r="A89" s="5">
        <v>47484</v>
      </c>
      <c r="B89" s="75">
        <v>0</v>
      </c>
      <c r="C89" s="75">
        <v>0</v>
      </c>
      <c r="D89" s="75">
        <v>0</v>
      </c>
      <c r="E89" s="75">
        <v>0</v>
      </c>
      <c r="F89" s="74">
        <v>61739561.214654341</v>
      </c>
      <c r="G89" s="75">
        <v>91565.35319741453</v>
      </c>
      <c r="H89" s="75">
        <v>345268.7361905399</v>
      </c>
      <c r="I89" s="75"/>
      <c r="J89" s="75">
        <v>37495269.253510386</v>
      </c>
      <c r="K89" s="8">
        <v>24244291.961143956</v>
      </c>
      <c r="L89" s="8">
        <v>0</v>
      </c>
      <c r="M89" s="74">
        <v>436834.08938795445</v>
      </c>
      <c r="N89" s="75">
        <v>-122794.062526954</v>
      </c>
      <c r="O89" s="75">
        <v>6937864.5328045078</v>
      </c>
      <c r="P89" s="75">
        <v>6815070.4702775534</v>
      </c>
      <c r="Q89" s="78">
        <v>17429221.4908664</v>
      </c>
      <c r="R89" s="78">
        <v>135620.63616697359</v>
      </c>
      <c r="S89" s="78">
        <v>0</v>
      </c>
      <c r="T89" s="78">
        <v>572454.72555492807</v>
      </c>
      <c r="U89" s="1"/>
      <c r="V89" s="1"/>
      <c r="W89" s="78">
        <v>35850.525888473909</v>
      </c>
      <c r="AA89" s="38">
        <v>436834.08938795445</v>
      </c>
    </row>
    <row r="90" spans="1:27" s="31" customFormat="1" ht="15.5" x14ac:dyDescent="0.35">
      <c r="A90" s="5">
        <v>47515</v>
      </c>
      <c r="B90" s="75">
        <v>0</v>
      </c>
      <c r="C90" s="75">
        <v>0</v>
      </c>
      <c r="D90" s="75">
        <v>0</v>
      </c>
      <c r="E90" s="75">
        <v>0</v>
      </c>
      <c r="F90" s="74">
        <v>61739561.214654341</v>
      </c>
      <c r="G90" s="75">
        <v>91565.35319741453</v>
      </c>
      <c r="H90" s="75">
        <v>345268.7361905399</v>
      </c>
      <c r="I90" s="75"/>
      <c r="J90" s="75">
        <v>37932103.342898346</v>
      </c>
      <c r="K90" s="8">
        <v>23807457.871755995</v>
      </c>
      <c r="L90" s="8">
        <v>0</v>
      </c>
      <c r="M90" s="74">
        <v>436834.08938795445</v>
      </c>
      <c r="N90" s="75">
        <v>-122794.062526954</v>
      </c>
      <c r="O90" s="75">
        <v>6815070.4702775534</v>
      </c>
      <c r="P90" s="75">
        <v>6692276.4077505991</v>
      </c>
      <c r="Q90" s="78">
        <v>17115181.464005396</v>
      </c>
      <c r="R90" s="78">
        <v>133177.02110091329</v>
      </c>
      <c r="S90" s="78">
        <v>0</v>
      </c>
      <c r="T90" s="78">
        <v>570011.11048886774</v>
      </c>
      <c r="U90" s="1"/>
      <c r="V90" s="1"/>
      <c r="W90" s="78">
        <v>35204.570467062957</v>
      </c>
      <c r="AA90" s="38">
        <v>436834.08938795445</v>
      </c>
    </row>
    <row r="91" spans="1:27" s="31" customFormat="1" ht="15.5" x14ac:dyDescent="0.35">
      <c r="A91" s="79">
        <v>47543</v>
      </c>
      <c r="B91" s="80">
        <v>0</v>
      </c>
      <c r="C91" s="80">
        <v>0</v>
      </c>
      <c r="D91" s="80">
        <v>0</v>
      </c>
      <c r="E91" s="80">
        <v>0</v>
      </c>
      <c r="F91" s="81">
        <v>61739561.214654341</v>
      </c>
      <c r="G91" s="80">
        <v>91565.35319741453</v>
      </c>
      <c r="H91" s="80">
        <v>345268.7361905399</v>
      </c>
      <c r="I91" s="80"/>
      <c r="J91" s="80">
        <v>38368937.432286307</v>
      </c>
      <c r="K91" s="8">
        <v>23370623.782368034</v>
      </c>
      <c r="L91" s="82">
        <v>0</v>
      </c>
      <c r="M91" s="81">
        <v>436834.08938795445</v>
      </c>
      <c r="N91" s="80">
        <v>-122794.062526954</v>
      </c>
      <c r="O91" s="80">
        <v>6692276.4077505991</v>
      </c>
      <c r="P91" s="80">
        <v>6569482.3452236447</v>
      </c>
      <c r="Q91" s="83">
        <v>16801141.437144391</v>
      </c>
      <c r="R91" s="83">
        <v>130733.40603485302</v>
      </c>
      <c r="S91" s="83">
        <v>0</v>
      </c>
      <c r="T91" s="83">
        <v>567567.49542280752</v>
      </c>
      <c r="U91" s="1"/>
      <c r="V91" s="1"/>
      <c r="W91" s="78">
        <v>34558.615045651997</v>
      </c>
      <c r="AA91" s="38">
        <v>436834.08938795445</v>
      </c>
    </row>
    <row r="92" spans="1:27" s="31" customFormat="1" ht="15.5" x14ac:dyDescent="0.35">
      <c r="A92" s="5">
        <v>47574</v>
      </c>
      <c r="B92" s="75">
        <v>0</v>
      </c>
      <c r="C92" s="75">
        <v>0</v>
      </c>
      <c r="D92" s="75">
        <v>0</v>
      </c>
      <c r="E92" s="75">
        <v>0</v>
      </c>
      <c r="F92" s="74">
        <v>61739561.214654341</v>
      </c>
      <c r="G92" s="75">
        <v>91565.35319741453</v>
      </c>
      <c r="H92" s="75">
        <v>345268.7361905399</v>
      </c>
      <c r="I92" s="75"/>
      <c r="J92" s="75">
        <v>38805771.521674268</v>
      </c>
      <c r="K92" s="8">
        <v>22933789.692980073</v>
      </c>
      <c r="L92" s="8">
        <v>0</v>
      </c>
      <c r="M92" s="74">
        <v>436834.08938795445</v>
      </c>
      <c r="N92" s="75">
        <v>-122794.062526954</v>
      </c>
      <c r="O92" s="75">
        <v>6569482.3452236447</v>
      </c>
      <c r="P92" s="75">
        <v>6446688.2826966904</v>
      </c>
      <c r="Q92" s="78">
        <v>16487101.410283383</v>
      </c>
      <c r="R92" s="78">
        <v>128289.7909687927</v>
      </c>
      <c r="S92" s="78">
        <v>0</v>
      </c>
      <c r="T92" s="78">
        <v>565123.88035674719</v>
      </c>
      <c r="U92" s="1"/>
      <c r="V92" s="1"/>
      <c r="W92" s="78">
        <v>33912.659624241038</v>
      </c>
      <c r="AA92" s="38">
        <v>436834.08938795445</v>
      </c>
    </row>
    <row r="93" spans="1:27" s="31" customFormat="1" ht="15.5" x14ac:dyDescent="0.35">
      <c r="A93" s="5">
        <v>47604</v>
      </c>
      <c r="B93" s="75">
        <v>0</v>
      </c>
      <c r="C93" s="75">
        <v>0</v>
      </c>
      <c r="D93" s="75">
        <v>0</v>
      </c>
      <c r="E93" s="75">
        <v>0</v>
      </c>
      <c r="F93" s="74">
        <v>61739561.214654341</v>
      </c>
      <c r="G93" s="75">
        <v>91565.35319741453</v>
      </c>
      <c r="H93" s="75">
        <v>345268.7361905399</v>
      </c>
      <c r="I93" s="75"/>
      <c r="J93" s="75">
        <v>39242605.611062229</v>
      </c>
      <c r="K93" s="8">
        <v>22496955.603592113</v>
      </c>
      <c r="L93" s="8">
        <v>0</v>
      </c>
      <c r="M93" s="74">
        <v>436834.08938795445</v>
      </c>
      <c r="N93" s="75">
        <v>-122794.062526954</v>
      </c>
      <c r="O93" s="75">
        <v>6446688.2826966904</v>
      </c>
      <c r="P93" s="75">
        <v>6323894.2201697361</v>
      </c>
      <c r="Q93" s="78">
        <v>16173061.383422377</v>
      </c>
      <c r="R93" s="78">
        <v>125846.17590273239</v>
      </c>
      <c r="S93" s="78">
        <v>0</v>
      </c>
      <c r="T93" s="78">
        <v>562680.26529068686</v>
      </c>
      <c r="U93" s="1"/>
      <c r="V93" s="1"/>
      <c r="W93" s="78">
        <v>33266.704202830071</v>
      </c>
      <c r="AA93" s="38">
        <v>436834.08938795445</v>
      </c>
    </row>
    <row r="94" spans="1:27" s="31" customFormat="1" ht="15.5" x14ac:dyDescent="0.35">
      <c r="A94" s="79">
        <v>47635</v>
      </c>
      <c r="B94" s="80">
        <v>0</v>
      </c>
      <c r="C94" s="80">
        <v>0</v>
      </c>
      <c r="D94" s="80">
        <v>0</v>
      </c>
      <c r="E94" s="80">
        <v>0</v>
      </c>
      <c r="F94" s="81">
        <v>61739561.214654341</v>
      </c>
      <c r="G94" s="80">
        <v>91565.35319741453</v>
      </c>
      <c r="H94" s="80">
        <v>345268.7361905399</v>
      </c>
      <c r="I94" s="80"/>
      <c r="J94" s="80">
        <v>39679439.700450189</v>
      </c>
      <c r="K94" s="8">
        <v>22060121.514204152</v>
      </c>
      <c r="L94" s="82">
        <v>0</v>
      </c>
      <c r="M94" s="81">
        <v>436834.08938795445</v>
      </c>
      <c r="N94" s="80">
        <v>-122794.062526954</v>
      </c>
      <c r="O94" s="80">
        <v>6323894.2201697361</v>
      </c>
      <c r="P94" s="80">
        <v>6201100.1576427817</v>
      </c>
      <c r="Q94" s="83">
        <v>15859021.35656137</v>
      </c>
      <c r="R94" s="83">
        <v>123402.56083667208</v>
      </c>
      <c r="S94" s="83">
        <v>0</v>
      </c>
      <c r="T94" s="83">
        <v>560236.65022462653</v>
      </c>
      <c r="U94" s="1"/>
      <c r="V94" s="1"/>
      <c r="W94" s="78">
        <v>32620.748781419115</v>
      </c>
      <c r="AA94" s="38">
        <v>436834.08938795445</v>
      </c>
    </row>
    <row r="95" spans="1:27" s="31" customFormat="1" ht="15.5" x14ac:dyDescent="0.35">
      <c r="A95" s="5">
        <v>47665</v>
      </c>
      <c r="B95" s="75">
        <v>0</v>
      </c>
      <c r="C95" s="75">
        <v>0</v>
      </c>
      <c r="D95" s="75">
        <v>0</v>
      </c>
      <c r="E95" s="75">
        <v>0</v>
      </c>
      <c r="F95" s="74">
        <v>61739561.214654341</v>
      </c>
      <c r="G95" s="75">
        <v>91565.35319741453</v>
      </c>
      <c r="H95" s="75">
        <v>345268.7361905399</v>
      </c>
      <c r="I95" s="75"/>
      <c r="J95" s="75">
        <v>40116273.78983815</v>
      </c>
      <c r="K95" s="8">
        <v>21623287.424816191</v>
      </c>
      <c r="L95" s="8">
        <v>0</v>
      </c>
      <c r="M95" s="74">
        <v>436834.08938795445</v>
      </c>
      <c r="N95" s="75">
        <v>-122794.062526954</v>
      </c>
      <c r="O95" s="75">
        <v>6201100.1576427817</v>
      </c>
      <c r="P95" s="75">
        <v>6078306.0951158274</v>
      </c>
      <c r="Q95" s="78">
        <v>15544981.329700364</v>
      </c>
      <c r="R95" s="78">
        <v>120958.94577061178</v>
      </c>
      <c r="S95" s="78">
        <v>0</v>
      </c>
      <c r="T95" s="78">
        <v>557793.0351585662</v>
      </c>
      <c r="U95" s="1"/>
      <c r="V95" s="1"/>
      <c r="W95" s="78">
        <v>31974.79336000816</v>
      </c>
      <c r="AA95" s="38">
        <v>436834.08938795445</v>
      </c>
    </row>
    <row r="96" spans="1:27" s="31" customFormat="1" ht="15.5" x14ac:dyDescent="0.35">
      <c r="A96" s="5">
        <v>47696</v>
      </c>
      <c r="B96" s="75">
        <v>0</v>
      </c>
      <c r="C96" s="75">
        <v>0</v>
      </c>
      <c r="D96" s="75">
        <v>0</v>
      </c>
      <c r="E96" s="75">
        <v>0</v>
      </c>
      <c r="F96" s="74">
        <v>61739561.214654341</v>
      </c>
      <c r="G96" s="75">
        <v>91565.35319741453</v>
      </c>
      <c r="H96" s="75">
        <v>345268.7361905399</v>
      </c>
      <c r="I96" s="75"/>
      <c r="J96" s="75">
        <v>40553107.879226111</v>
      </c>
      <c r="K96" s="8">
        <v>21186453.33542823</v>
      </c>
      <c r="L96" s="8">
        <v>0</v>
      </c>
      <c r="M96" s="74">
        <v>436834.08938795445</v>
      </c>
      <c r="N96" s="75">
        <v>-122794.062526954</v>
      </c>
      <c r="O96" s="75">
        <v>6078306.0951158274</v>
      </c>
      <c r="P96" s="75">
        <v>5955512.0325888731</v>
      </c>
      <c r="Q96" s="78">
        <v>15230941.302839357</v>
      </c>
      <c r="R96" s="78">
        <v>118515.33070455148</v>
      </c>
      <c r="S96" s="78">
        <v>0</v>
      </c>
      <c r="T96" s="78">
        <v>555349.42009250587</v>
      </c>
      <c r="U96" s="1"/>
      <c r="V96" s="1"/>
      <c r="W96" s="78">
        <v>31328.837938597197</v>
      </c>
      <c r="AA96" s="38">
        <v>436834.08938795445</v>
      </c>
    </row>
    <row r="97" spans="1:27" s="31" customFormat="1" ht="15.5" x14ac:dyDescent="0.35">
      <c r="A97" s="79">
        <v>47727</v>
      </c>
      <c r="B97" s="80">
        <v>0</v>
      </c>
      <c r="C97" s="80">
        <v>0</v>
      </c>
      <c r="D97" s="80">
        <v>0</v>
      </c>
      <c r="E97" s="80">
        <v>0</v>
      </c>
      <c r="F97" s="81">
        <v>61739561.214654341</v>
      </c>
      <c r="G97" s="80">
        <v>91565.35319741453</v>
      </c>
      <c r="H97" s="80">
        <v>345268.7361905399</v>
      </c>
      <c r="I97" s="80"/>
      <c r="J97" s="80">
        <v>40989941.968614072</v>
      </c>
      <c r="K97" s="8">
        <v>20749619.24604027</v>
      </c>
      <c r="L97" s="82">
        <v>0</v>
      </c>
      <c r="M97" s="81">
        <v>436834.08938795445</v>
      </c>
      <c r="N97" s="80">
        <v>-122794.062526954</v>
      </c>
      <c r="O97" s="80">
        <v>5955512.0325888731</v>
      </c>
      <c r="P97" s="80">
        <v>5832717.9700619187</v>
      </c>
      <c r="Q97" s="83">
        <v>14916901.275978351</v>
      </c>
      <c r="R97" s="83">
        <v>116071.71563849118</v>
      </c>
      <c r="S97" s="83">
        <v>0</v>
      </c>
      <c r="T97" s="83">
        <v>552905.80502644565</v>
      </c>
      <c r="U97" s="1"/>
      <c r="V97" s="1"/>
      <c r="W97" s="78">
        <v>30682.882517186241</v>
      </c>
      <c r="AA97" s="38">
        <v>436834.08938795445</v>
      </c>
    </row>
    <row r="98" spans="1:27" s="31" customFormat="1" ht="15.5" x14ac:dyDescent="0.35">
      <c r="A98" s="5">
        <v>47757</v>
      </c>
      <c r="B98" s="75">
        <v>0</v>
      </c>
      <c r="C98" s="75">
        <v>0</v>
      </c>
      <c r="D98" s="75">
        <v>0</v>
      </c>
      <c r="E98" s="75">
        <v>0</v>
      </c>
      <c r="F98" s="74">
        <v>61739561.214654341</v>
      </c>
      <c r="G98" s="75">
        <v>91565.35319741453</v>
      </c>
      <c r="H98" s="75">
        <v>345268.7361905399</v>
      </c>
      <c r="I98" s="75"/>
      <c r="J98" s="75">
        <v>41426776.058002032</v>
      </c>
      <c r="K98" s="8">
        <v>20312785.156652309</v>
      </c>
      <c r="L98" s="8">
        <v>0</v>
      </c>
      <c r="M98" s="74">
        <v>436834.08938795445</v>
      </c>
      <c r="N98" s="75">
        <v>-122794.062526954</v>
      </c>
      <c r="O98" s="75">
        <v>5832717.9700619187</v>
      </c>
      <c r="P98" s="75">
        <v>5709923.9075349644</v>
      </c>
      <c r="Q98" s="78">
        <v>14602861.249117345</v>
      </c>
      <c r="R98" s="78">
        <v>113628.10057243088</v>
      </c>
      <c r="S98" s="78">
        <v>0</v>
      </c>
      <c r="T98" s="78">
        <v>550462.18996038532</v>
      </c>
      <c r="U98" s="1"/>
      <c r="V98" s="1"/>
      <c r="W98" s="78">
        <v>30036.927095775278</v>
      </c>
      <c r="AA98" s="38">
        <v>436834.08938795445</v>
      </c>
    </row>
    <row r="99" spans="1:27" s="31" customFormat="1" ht="15.5" x14ac:dyDescent="0.35">
      <c r="A99" s="5">
        <v>47788</v>
      </c>
      <c r="B99" s="75">
        <v>0</v>
      </c>
      <c r="C99" s="75">
        <v>0</v>
      </c>
      <c r="D99" s="75">
        <v>0</v>
      </c>
      <c r="E99" s="75">
        <v>0</v>
      </c>
      <c r="F99" s="74">
        <v>61739561.214654341</v>
      </c>
      <c r="G99" s="75">
        <v>91565.35319741453</v>
      </c>
      <c r="H99" s="75">
        <v>345268.7361905399</v>
      </c>
      <c r="I99" s="75"/>
      <c r="J99" s="75">
        <v>41863610.147389993</v>
      </c>
      <c r="K99" s="8">
        <v>19875951.067264348</v>
      </c>
      <c r="L99" s="8">
        <v>0</v>
      </c>
      <c r="M99" s="74">
        <v>436834.08938795445</v>
      </c>
      <c r="N99" s="75">
        <v>-122794.062526954</v>
      </c>
      <c r="O99" s="75">
        <v>5709923.9075349644</v>
      </c>
      <c r="P99" s="75">
        <v>5587129.84500801</v>
      </c>
      <c r="Q99" s="78">
        <v>14288821.222256338</v>
      </c>
      <c r="R99" s="78">
        <v>111184.48550637058</v>
      </c>
      <c r="S99" s="78">
        <v>0</v>
      </c>
      <c r="T99" s="78">
        <v>548018.57489432499</v>
      </c>
      <c r="U99" s="1"/>
      <c r="V99" s="1"/>
      <c r="W99" s="78">
        <v>29390.971674364322</v>
      </c>
      <c r="AA99" s="38">
        <v>436834.08938795445</v>
      </c>
    </row>
    <row r="100" spans="1:27" s="31" customFormat="1" ht="15.5" x14ac:dyDescent="0.35">
      <c r="A100" s="79">
        <v>47818</v>
      </c>
      <c r="B100" s="80">
        <v>0</v>
      </c>
      <c r="C100" s="80">
        <v>0</v>
      </c>
      <c r="D100" s="80">
        <v>0</v>
      </c>
      <c r="E100" s="80">
        <v>0</v>
      </c>
      <c r="F100" s="81">
        <v>61739561.214654341</v>
      </c>
      <c r="G100" s="80">
        <v>91565.35319741453</v>
      </c>
      <c r="H100" s="80">
        <v>345268.7361905399</v>
      </c>
      <c r="I100" s="80"/>
      <c r="J100" s="80">
        <v>42300444.236777954</v>
      </c>
      <c r="K100" s="8">
        <v>19439116.977876388</v>
      </c>
      <c r="L100" s="82">
        <v>0</v>
      </c>
      <c r="M100" s="81">
        <v>436834.08938795445</v>
      </c>
      <c r="N100" s="80">
        <v>-122794.062526954</v>
      </c>
      <c r="O100" s="80">
        <v>5587129.84500801</v>
      </c>
      <c r="P100" s="80">
        <v>5464335.7824810557</v>
      </c>
      <c r="Q100" s="83">
        <v>13974781.195395332</v>
      </c>
      <c r="R100" s="83">
        <v>108740.87044031026</v>
      </c>
      <c r="S100" s="83">
        <v>0</v>
      </c>
      <c r="T100" s="83">
        <v>545574.95982826466</v>
      </c>
      <c r="U100" s="1"/>
      <c r="V100" s="1"/>
      <c r="W100" s="78">
        <v>28745.016252953359</v>
      </c>
      <c r="AA100" s="38">
        <v>436834.08938795445</v>
      </c>
    </row>
    <row r="101" spans="1:27" s="31" customFormat="1" ht="15.5" x14ac:dyDescent="0.35">
      <c r="A101" s="5">
        <v>47849</v>
      </c>
      <c r="B101" s="75">
        <v>0</v>
      </c>
      <c r="C101" s="75">
        <v>0</v>
      </c>
      <c r="D101" s="75">
        <v>0</v>
      </c>
      <c r="E101" s="75">
        <v>0</v>
      </c>
      <c r="F101" s="74">
        <v>61739561.214654341</v>
      </c>
      <c r="G101" s="75">
        <v>91565.35319741453</v>
      </c>
      <c r="H101" s="75">
        <v>345268.7361905399</v>
      </c>
      <c r="I101" s="75"/>
      <c r="J101" s="75">
        <v>42737278.326165915</v>
      </c>
      <c r="K101" s="8">
        <v>19002282.888488427</v>
      </c>
      <c r="L101" s="8">
        <v>0</v>
      </c>
      <c r="M101" s="74">
        <v>436834.08938795445</v>
      </c>
      <c r="N101" s="75">
        <v>-122794.062526954</v>
      </c>
      <c r="O101" s="75">
        <v>5464335.7824810557</v>
      </c>
      <c r="P101" s="75">
        <v>5341541.7199541014</v>
      </c>
      <c r="Q101" s="78">
        <v>13660741.168534325</v>
      </c>
      <c r="R101" s="78">
        <v>106297.25537424996</v>
      </c>
      <c r="S101" s="78">
        <v>0</v>
      </c>
      <c r="T101" s="78">
        <v>543131.34476220445</v>
      </c>
      <c r="U101" s="1"/>
      <c r="V101" s="1"/>
      <c r="W101" s="78">
        <v>28099.060831542403</v>
      </c>
      <c r="AA101" s="38">
        <v>436834.08938795445</v>
      </c>
    </row>
    <row r="102" spans="1:27" s="31" customFormat="1" ht="15.5" x14ac:dyDescent="0.35">
      <c r="A102" s="5">
        <v>47880</v>
      </c>
      <c r="B102" s="75">
        <v>0</v>
      </c>
      <c r="C102" s="75">
        <v>0</v>
      </c>
      <c r="D102" s="75">
        <v>0</v>
      </c>
      <c r="E102" s="75">
        <v>0</v>
      </c>
      <c r="F102" s="74">
        <v>61739561.214654341</v>
      </c>
      <c r="G102" s="75">
        <v>91565.35319741453</v>
      </c>
      <c r="H102" s="75">
        <v>345268.7361905399</v>
      </c>
      <c r="I102" s="75"/>
      <c r="J102" s="75">
        <v>43174112.415553875</v>
      </c>
      <c r="K102" s="8">
        <v>18565448.799100466</v>
      </c>
      <c r="L102" s="8">
        <v>0</v>
      </c>
      <c r="M102" s="74">
        <v>436834.08938795445</v>
      </c>
      <c r="N102" s="75">
        <v>-122794.062526954</v>
      </c>
      <c r="O102" s="75">
        <v>5341541.7199541014</v>
      </c>
      <c r="P102" s="75">
        <v>5218747.657427147</v>
      </c>
      <c r="Q102" s="78">
        <v>13346701.141673319</v>
      </c>
      <c r="R102" s="78">
        <v>103853.64030818966</v>
      </c>
      <c r="S102" s="78">
        <v>0</v>
      </c>
      <c r="T102" s="78">
        <v>540687.72969614412</v>
      </c>
      <c r="U102" s="1"/>
      <c r="V102" s="1"/>
      <c r="W102" s="78">
        <v>27453.10541013144</v>
      </c>
      <c r="AA102" s="38">
        <v>436834.08938795445</v>
      </c>
    </row>
    <row r="103" spans="1:27" s="31" customFormat="1" ht="15.5" x14ac:dyDescent="0.35">
      <c r="A103" s="79">
        <v>47908</v>
      </c>
      <c r="B103" s="80">
        <v>0</v>
      </c>
      <c r="C103" s="80">
        <v>0</v>
      </c>
      <c r="D103" s="80">
        <v>0</v>
      </c>
      <c r="E103" s="80">
        <v>0</v>
      </c>
      <c r="F103" s="81">
        <v>61739561.214654341</v>
      </c>
      <c r="G103" s="80">
        <v>91565.35319741453</v>
      </c>
      <c r="H103" s="80">
        <v>345268.7361905399</v>
      </c>
      <c r="I103" s="80"/>
      <c r="J103" s="80">
        <v>43610946.504941836</v>
      </c>
      <c r="K103" s="8">
        <v>18128614.709712505</v>
      </c>
      <c r="L103" s="82">
        <v>0</v>
      </c>
      <c r="M103" s="81">
        <v>436834.08938795445</v>
      </c>
      <c r="N103" s="80">
        <v>-122794.062526954</v>
      </c>
      <c r="O103" s="80">
        <v>5218747.657427147</v>
      </c>
      <c r="P103" s="80">
        <v>5095953.5949001927</v>
      </c>
      <c r="Q103" s="83">
        <v>13032661.114812313</v>
      </c>
      <c r="R103" s="83">
        <v>101410.02524212936</v>
      </c>
      <c r="S103" s="83">
        <v>0</v>
      </c>
      <c r="T103" s="83">
        <v>538244.11463008379</v>
      </c>
      <c r="U103" s="1"/>
      <c r="V103" s="1"/>
      <c r="W103" s="78">
        <v>26807.149988720485</v>
      </c>
      <c r="AA103" s="38">
        <v>436834.08938795445</v>
      </c>
    </row>
    <row r="104" spans="1:27" s="31" customFormat="1" ht="15.5" x14ac:dyDescent="0.35">
      <c r="A104" s="5">
        <v>47939</v>
      </c>
      <c r="B104" s="75">
        <v>0</v>
      </c>
      <c r="C104" s="75">
        <v>0</v>
      </c>
      <c r="D104" s="75">
        <v>0</v>
      </c>
      <c r="E104" s="75">
        <v>0</v>
      </c>
      <c r="F104" s="74">
        <v>61739561.214654341</v>
      </c>
      <c r="G104" s="75">
        <v>91565.35319741453</v>
      </c>
      <c r="H104" s="75">
        <v>345268.7361905399</v>
      </c>
      <c r="I104" s="75"/>
      <c r="J104" s="75">
        <v>44047780.594329797</v>
      </c>
      <c r="K104" s="8">
        <v>17691780.620324545</v>
      </c>
      <c r="L104" s="8">
        <v>0</v>
      </c>
      <c r="M104" s="74">
        <v>436834.08938795445</v>
      </c>
      <c r="N104" s="75">
        <v>-122794.062526954</v>
      </c>
      <c r="O104" s="75">
        <v>5095953.5949001927</v>
      </c>
      <c r="P104" s="75">
        <v>4973159.5323732384</v>
      </c>
      <c r="Q104" s="78">
        <v>12718621.087951306</v>
      </c>
      <c r="R104" s="78">
        <v>98966.410176069054</v>
      </c>
      <c r="S104" s="78">
        <v>0</v>
      </c>
      <c r="T104" s="78">
        <v>535800.49956402346</v>
      </c>
      <c r="U104" s="1"/>
      <c r="V104" s="1"/>
      <c r="W104" s="78">
        <v>26161.194567309529</v>
      </c>
      <c r="AA104" s="38">
        <v>436834.08938795445</v>
      </c>
    </row>
    <row r="105" spans="1:27" s="31" customFormat="1" ht="15.5" x14ac:dyDescent="0.35">
      <c r="A105" s="5">
        <v>47969</v>
      </c>
      <c r="B105" s="75">
        <v>0</v>
      </c>
      <c r="C105" s="75">
        <v>0</v>
      </c>
      <c r="D105" s="75">
        <v>0</v>
      </c>
      <c r="E105" s="75">
        <v>0</v>
      </c>
      <c r="F105" s="74">
        <v>61739561.214654341</v>
      </c>
      <c r="G105" s="75">
        <v>91565.35319741453</v>
      </c>
      <c r="H105" s="75">
        <v>345268.7361905399</v>
      </c>
      <c r="I105" s="75"/>
      <c r="J105" s="75">
        <v>44484614.683717757</v>
      </c>
      <c r="K105" s="8">
        <v>17254946.530936584</v>
      </c>
      <c r="L105" s="8">
        <v>0</v>
      </c>
      <c r="M105" s="74">
        <v>436834.08938795445</v>
      </c>
      <c r="N105" s="75">
        <v>-122794.062526954</v>
      </c>
      <c r="O105" s="75">
        <v>4973159.5323732384</v>
      </c>
      <c r="P105" s="75">
        <v>4850365.469846284</v>
      </c>
      <c r="Q105" s="78">
        <v>12404581.0610903</v>
      </c>
      <c r="R105" s="78">
        <v>96522.795110008752</v>
      </c>
      <c r="S105" s="78">
        <v>0</v>
      </c>
      <c r="T105" s="78">
        <v>533356.88449796324</v>
      </c>
      <c r="U105" s="1"/>
      <c r="V105" s="1"/>
      <c r="W105" s="78">
        <v>25515.239145898566</v>
      </c>
      <c r="AA105" s="38">
        <v>436834.08938795445</v>
      </c>
    </row>
    <row r="106" spans="1:27" s="31" customFormat="1" ht="15.5" x14ac:dyDescent="0.35">
      <c r="A106" s="79">
        <v>48000</v>
      </c>
      <c r="B106" s="80">
        <v>0</v>
      </c>
      <c r="C106" s="80">
        <v>0</v>
      </c>
      <c r="D106" s="80">
        <v>0</v>
      </c>
      <c r="E106" s="80">
        <v>0</v>
      </c>
      <c r="F106" s="81">
        <v>61739561.214654341</v>
      </c>
      <c r="G106" s="80">
        <v>91565.35319741453</v>
      </c>
      <c r="H106" s="80">
        <v>345268.7361905399</v>
      </c>
      <c r="I106" s="80"/>
      <c r="J106" s="80">
        <v>44921448.773105718</v>
      </c>
      <c r="K106" s="8">
        <v>16818112.441548623</v>
      </c>
      <c r="L106" s="82">
        <v>0</v>
      </c>
      <c r="M106" s="81">
        <v>436834.08938795445</v>
      </c>
      <c r="N106" s="80">
        <v>-122794.062526954</v>
      </c>
      <c r="O106" s="80">
        <v>4850365.469846284</v>
      </c>
      <c r="P106" s="80">
        <v>4727571.4073193297</v>
      </c>
      <c r="Q106" s="83">
        <v>12090541.034229293</v>
      </c>
      <c r="R106" s="83">
        <v>94079.18004394845</v>
      </c>
      <c r="S106" s="83">
        <v>0</v>
      </c>
      <c r="T106" s="83">
        <v>530913.26943190291</v>
      </c>
      <c r="U106" s="1"/>
      <c r="V106" s="1"/>
      <c r="W106" s="78">
        <v>24869.28372448761</v>
      </c>
      <c r="AA106" s="38">
        <v>436834.08938795445</v>
      </c>
    </row>
    <row r="107" spans="1:27" s="31" customFormat="1" ht="15.5" x14ac:dyDescent="0.35">
      <c r="A107" s="5">
        <v>48030</v>
      </c>
      <c r="B107" s="75">
        <v>0</v>
      </c>
      <c r="C107" s="75">
        <v>0</v>
      </c>
      <c r="D107" s="75">
        <v>0</v>
      </c>
      <c r="E107" s="75">
        <v>0</v>
      </c>
      <c r="F107" s="74">
        <v>61739561.214654341</v>
      </c>
      <c r="G107" s="75">
        <v>91565.35319741453</v>
      </c>
      <c r="H107" s="75">
        <v>345268.7361905399</v>
      </c>
      <c r="I107" s="75"/>
      <c r="J107" s="75">
        <v>45358282.862493679</v>
      </c>
      <c r="K107" s="8">
        <v>16381278.352160662</v>
      </c>
      <c r="L107" s="8">
        <v>0</v>
      </c>
      <c r="M107" s="74">
        <v>436834.08938795445</v>
      </c>
      <c r="N107" s="75">
        <v>-122794.062526954</v>
      </c>
      <c r="O107" s="75">
        <v>4727571.4073193297</v>
      </c>
      <c r="P107" s="75">
        <v>4604777.3447923753</v>
      </c>
      <c r="Q107" s="78">
        <v>11776501.007368287</v>
      </c>
      <c r="R107" s="78">
        <v>91635.564977888149</v>
      </c>
      <c r="S107" s="78">
        <v>0</v>
      </c>
      <c r="T107" s="78">
        <v>528469.65436584258</v>
      </c>
      <c r="U107" s="1"/>
      <c r="V107" s="1"/>
      <c r="W107" s="78">
        <v>24223.328303076647</v>
      </c>
      <c r="AA107" s="38">
        <v>436834.08938795445</v>
      </c>
    </row>
    <row r="108" spans="1:27" s="31" customFormat="1" ht="15.5" x14ac:dyDescent="0.35">
      <c r="A108" s="5">
        <v>48061</v>
      </c>
      <c r="B108" s="75">
        <v>0</v>
      </c>
      <c r="C108" s="75">
        <v>0</v>
      </c>
      <c r="D108" s="75">
        <v>0</v>
      </c>
      <c r="E108" s="75">
        <v>0</v>
      </c>
      <c r="F108" s="74">
        <v>61739561.214654341</v>
      </c>
      <c r="G108" s="75">
        <v>91565.35319741453</v>
      </c>
      <c r="H108" s="75">
        <v>345268.7361905399</v>
      </c>
      <c r="I108" s="75"/>
      <c r="J108" s="75">
        <v>45795116.95188164</v>
      </c>
      <c r="K108" s="8">
        <v>15944444.262772702</v>
      </c>
      <c r="L108" s="8">
        <v>0</v>
      </c>
      <c r="M108" s="74">
        <v>436834.08938795445</v>
      </c>
      <c r="N108" s="75">
        <v>-122794.062526954</v>
      </c>
      <c r="O108" s="75">
        <v>4604777.3447923753</v>
      </c>
      <c r="P108" s="75">
        <v>4481983.282265421</v>
      </c>
      <c r="Q108" s="78">
        <v>11462460.980507281</v>
      </c>
      <c r="R108" s="78">
        <v>89191.949911827833</v>
      </c>
      <c r="S108" s="78">
        <v>0</v>
      </c>
      <c r="T108" s="78">
        <v>526026.03929978225</v>
      </c>
      <c r="U108" s="1"/>
      <c r="V108" s="1"/>
      <c r="W108" s="78">
        <v>23577.372881665691</v>
      </c>
      <c r="AA108" s="38">
        <v>436834.08938795445</v>
      </c>
    </row>
    <row r="109" spans="1:27" s="31" customFormat="1" ht="15.5" x14ac:dyDescent="0.35">
      <c r="A109" s="79">
        <v>48092</v>
      </c>
      <c r="B109" s="80">
        <v>0</v>
      </c>
      <c r="C109" s="80">
        <v>0</v>
      </c>
      <c r="D109" s="80">
        <v>0</v>
      </c>
      <c r="E109" s="80">
        <v>0</v>
      </c>
      <c r="F109" s="81">
        <v>61739561.214654341</v>
      </c>
      <c r="G109" s="80">
        <v>91565.35319741453</v>
      </c>
      <c r="H109" s="80">
        <v>345268.7361905399</v>
      </c>
      <c r="I109" s="80"/>
      <c r="J109" s="80">
        <v>46231951.0412696</v>
      </c>
      <c r="K109" s="8">
        <v>15507610.173384741</v>
      </c>
      <c r="L109" s="82">
        <v>0</v>
      </c>
      <c r="M109" s="81">
        <v>436834.08938795445</v>
      </c>
      <c r="N109" s="80">
        <v>-122794.062526954</v>
      </c>
      <c r="O109" s="80">
        <v>4481983.282265421</v>
      </c>
      <c r="P109" s="80">
        <v>4359189.2197384667</v>
      </c>
      <c r="Q109" s="83">
        <v>11148420.953646274</v>
      </c>
      <c r="R109" s="83">
        <v>86748.334845767531</v>
      </c>
      <c r="S109" s="83">
        <v>0</v>
      </c>
      <c r="T109" s="83">
        <v>523582.42423372198</v>
      </c>
      <c r="U109" s="1"/>
      <c r="V109" s="1"/>
      <c r="W109" s="78">
        <v>22931.417460254728</v>
      </c>
      <c r="AA109" s="38">
        <v>436834.08938795445</v>
      </c>
    </row>
    <row r="110" spans="1:27" s="31" customFormat="1" ht="15.5" x14ac:dyDescent="0.35">
      <c r="A110" s="5">
        <v>48122</v>
      </c>
      <c r="B110" s="75">
        <v>0</v>
      </c>
      <c r="C110" s="75">
        <v>0</v>
      </c>
      <c r="D110" s="75">
        <v>0</v>
      </c>
      <c r="E110" s="75">
        <v>0</v>
      </c>
      <c r="F110" s="74">
        <v>61739561.214654341</v>
      </c>
      <c r="G110" s="75">
        <v>91565.35319741453</v>
      </c>
      <c r="H110" s="75">
        <v>345268.7361905399</v>
      </c>
      <c r="I110" s="75"/>
      <c r="J110" s="75">
        <v>46668785.130657561</v>
      </c>
      <c r="K110" s="8">
        <v>15070776.08399678</v>
      </c>
      <c r="L110" s="8">
        <v>0</v>
      </c>
      <c r="M110" s="74">
        <v>436834.08938795445</v>
      </c>
      <c r="N110" s="75">
        <v>-122794.062526954</v>
      </c>
      <c r="O110" s="75">
        <v>4359189.2197384667</v>
      </c>
      <c r="P110" s="75">
        <v>4236395.1572115123</v>
      </c>
      <c r="Q110" s="78">
        <v>10834380.926785268</v>
      </c>
      <c r="R110" s="78">
        <v>84304.719779707229</v>
      </c>
      <c r="S110" s="78">
        <v>0</v>
      </c>
      <c r="T110" s="78">
        <v>521138.8091676617</v>
      </c>
      <c r="U110" s="1"/>
      <c r="V110" s="1"/>
      <c r="W110" s="78">
        <v>22285.462038843772</v>
      </c>
      <c r="AA110" s="38">
        <v>436834.08938795445</v>
      </c>
    </row>
    <row r="111" spans="1:27" s="31" customFormat="1" ht="15.5" x14ac:dyDescent="0.35">
      <c r="A111" s="5">
        <v>48153</v>
      </c>
      <c r="B111" s="75">
        <v>0</v>
      </c>
      <c r="C111" s="75">
        <v>0</v>
      </c>
      <c r="D111" s="75">
        <v>0</v>
      </c>
      <c r="E111" s="75">
        <v>0</v>
      </c>
      <c r="F111" s="74">
        <v>61739561.214654341</v>
      </c>
      <c r="G111" s="75">
        <v>91565.35319741453</v>
      </c>
      <c r="H111" s="75">
        <v>345268.7361905399</v>
      </c>
      <c r="I111" s="75"/>
      <c r="J111" s="75">
        <v>47105619.220045522</v>
      </c>
      <c r="K111" s="8">
        <v>14633941.994608819</v>
      </c>
      <c r="L111" s="8">
        <v>0</v>
      </c>
      <c r="M111" s="74">
        <v>436834.08938795445</v>
      </c>
      <c r="N111" s="75">
        <v>-122794.062526954</v>
      </c>
      <c r="O111" s="75">
        <v>4236395.1572115123</v>
      </c>
      <c r="P111" s="75">
        <v>4113601.0946845585</v>
      </c>
      <c r="Q111" s="78">
        <v>10520340.899924261</v>
      </c>
      <c r="R111" s="78">
        <v>81861.104713646928</v>
      </c>
      <c r="S111" s="78">
        <v>0</v>
      </c>
      <c r="T111" s="78">
        <v>518695.19410160137</v>
      </c>
      <c r="U111" s="1"/>
      <c r="V111" s="1"/>
      <c r="W111" s="78">
        <v>21639.506617432813</v>
      </c>
      <c r="AA111" s="38">
        <v>436834.08938795445</v>
      </c>
    </row>
    <row r="112" spans="1:27" s="31" customFormat="1" ht="15.5" x14ac:dyDescent="0.35">
      <c r="A112" s="79">
        <v>48183</v>
      </c>
      <c r="B112" s="80">
        <v>0</v>
      </c>
      <c r="C112" s="80">
        <v>0</v>
      </c>
      <c r="D112" s="80">
        <v>0</v>
      </c>
      <c r="E112" s="80">
        <v>0</v>
      </c>
      <c r="F112" s="81">
        <v>61739561.214654341</v>
      </c>
      <c r="G112" s="80">
        <v>91565.35319741453</v>
      </c>
      <c r="H112" s="80">
        <v>345268.7361905399</v>
      </c>
      <c r="I112" s="80"/>
      <c r="J112" s="80">
        <v>47542453.309433483</v>
      </c>
      <c r="K112" s="8">
        <v>14197107.905220859</v>
      </c>
      <c r="L112" s="82">
        <v>0</v>
      </c>
      <c r="M112" s="81">
        <v>436834.08938795445</v>
      </c>
      <c r="N112" s="80">
        <v>-122794.062526954</v>
      </c>
      <c r="O112" s="80">
        <v>4113601.0946845585</v>
      </c>
      <c r="P112" s="80">
        <v>3990807.0321576046</v>
      </c>
      <c r="Q112" s="83">
        <v>10206300.873063255</v>
      </c>
      <c r="R112" s="83">
        <v>79417.489647586626</v>
      </c>
      <c r="S112" s="83">
        <v>0</v>
      </c>
      <c r="T112" s="83">
        <v>516251.57903554104</v>
      </c>
      <c r="U112" s="1"/>
      <c r="V112" s="1"/>
      <c r="W112" s="78">
        <v>20993.551196021854</v>
      </c>
      <c r="AA112" s="38">
        <v>436834.08938795445</v>
      </c>
    </row>
    <row r="113" spans="1:27" s="31" customFormat="1" ht="15.5" x14ac:dyDescent="0.35">
      <c r="A113" s="5">
        <v>48214</v>
      </c>
      <c r="B113" s="75">
        <v>0</v>
      </c>
      <c r="C113" s="75">
        <v>0</v>
      </c>
      <c r="D113" s="75">
        <v>0</v>
      </c>
      <c r="E113" s="75">
        <v>0</v>
      </c>
      <c r="F113" s="74">
        <v>61739561.214654341</v>
      </c>
      <c r="G113" s="75">
        <v>91565.35319741453</v>
      </c>
      <c r="H113" s="75">
        <v>345268.7361905399</v>
      </c>
      <c r="I113" s="75"/>
      <c r="J113" s="75">
        <v>47979287.398821443</v>
      </c>
      <c r="K113" s="8">
        <v>13760273.815832898</v>
      </c>
      <c r="L113" s="8">
        <v>0</v>
      </c>
      <c r="M113" s="74">
        <v>436834.08938795445</v>
      </c>
      <c r="N113" s="75">
        <v>-122794.062526954</v>
      </c>
      <c r="O113" s="75">
        <v>3990807.0321576046</v>
      </c>
      <c r="P113" s="75">
        <v>3868012.9696306507</v>
      </c>
      <c r="Q113" s="78">
        <v>9892260.8462022468</v>
      </c>
      <c r="R113" s="78">
        <v>76973.87458152631</v>
      </c>
      <c r="S113" s="78">
        <v>0</v>
      </c>
      <c r="T113" s="78">
        <v>513807.96396948077</v>
      </c>
      <c r="U113" s="1"/>
      <c r="V113" s="1"/>
      <c r="W113" s="78">
        <v>20347.595774610887</v>
      </c>
      <c r="AA113" s="38">
        <v>436834.08938795445</v>
      </c>
    </row>
    <row r="114" spans="1:27" s="31" customFormat="1" ht="15.5" x14ac:dyDescent="0.35">
      <c r="A114" s="5">
        <v>48245</v>
      </c>
      <c r="B114" s="75">
        <v>0</v>
      </c>
      <c r="C114" s="75">
        <v>0</v>
      </c>
      <c r="D114" s="75">
        <v>0</v>
      </c>
      <c r="E114" s="75">
        <v>0</v>
      </c>
      <c r="F114" s="74">
        <v>61739561.214654341</v>
      </c>
      <c r="G114" s="75">
        <v>91565.35319741453</v>
      </c>
      <c r="H114" s="75">
        <v>345268.7361905399</v>
      </c>
      <c r="I114" s="75"/>
      <c r="J114" s="75">
        <v>48416121.488209404</v>
      </c>
      <c r="K114" s="8">
        <v>13323439.726444937</v>
      </c>
      <c r="L114" s="8">
        <v>0</v>
      </c>
      <c r="M114" s="74">
        <v>436834.08938795445</v>
      </c>
      <c r="N114" s="75">
        <v>-122794.062526954</v>
      </c>
      <c r="O114" s="75">
        <v>3868012.9696306507</v>
      </c>
      <c r="P114" s="75">
        <v>3745218.9071036968</v>
      </c>
      <c r="Q114" s="78">
        <v>9578220.8193412405</v>
      </c>
      <c r="R114" s="78">
        <v>74530.259515466008</v>
      </c>
      <c r="S114" s="78">
        <v>0</v>
      </c>
      <c r="T114" s="78">
        <v>511364.34890342044</v>
      </c>
      <c r="U114" s="1"/>
      <c r="V114" s="1"/>
      <c r="W114" s="78">
        <v>19701.640353199928</v>
      </c>
      <c r="AA114" s="38">
        <v>436834.08938795445</v>
      </c>
    </row>
    <row r="115" spans="1:27" s="31" customFormat="1" ht="15.5" x14ac:dyDescent="0.35">
      <c r="A115" s="79">
        <v>48274</v>
      </c>
      <c r="B115" s="80">
        <v>0</v>
      </c>
      <c r="C115" s="80">
        <v>0</v>
      </c>
      <c r="D115" s="80">
        <v>0</v>
      </c>
      <c r="E115" s="80">
        <v>0</v>
      </c>
      <c r="F115" s="81">
        <v>61739561.214654341</v>
      </c>
      <c r="G115" s="80">
        <v>91565.35319741453</v>
      </c>
      <c r="H115" s="80">
        <v>345268.7361905399</v>
      </c>
      <c r="I115" s="80"/>
      <c r="J115" s="80">
        <v>48852955.577597365</v>
      </c>
      <c r="K115" s="8">
        <v>12886605.637056977</v>
      </c>
      <c r="L115" s="82">
        <v>0</v>
      </c>
      <c r="M115" s="81">
        <v>436834.08938795445</v>
      </c>
      <c r="N115" s="80">
        <v>-122794.062526954</v>
      </c>
      <c r="O115" s="80">
        <v>3745218.9071036968</v>
      </c>
      <c r="P115" s="80">
        <v>3622424.844576743</v>
      </c>
      <c r="Q115" s="83">
        <v>9264180.7924802341</v>
      </c>
      <c r="R115" s="83">
        <v>72086.644449405692</v>
      </c>
      <c r="S115" s="83">
        <v>0</v>
      </c>
      <c r="T115" s="83">
        <v>508920.73383736017</v>
      </c>
      <c r="U115" s="1"/>
      <c r="V115" s="1"/>
      <c r="W115" s="78">
        <v>19055.684931788968</v>
      </c>
      <c r="AA115" s="38">
        <v>436834.08938795445</v>
      </c>
    </row>
    <row r="116" spans="1:27" s="31" customFormat="1" ht="15.5" x14ac:dyDescent="0.35">
      <c r="A116" s="5">
        <v>48305</v>
      </c>
      <c r="B116" s="75">
        <v>0</v>
      </c>
      <c r="C116" s="75">
        <v>0</v>
      </c>
      <c r="D116" s="75">
        <v>0</v>
      </c>
      <c r="E116" s="75">
        <v>0</v>
      </c>
      <c r="F116" s="74">
        <v>61739561.214654341</v>
      </c>
      <c r="G116" s="75">
        <v>91565.35319741453</v>
      </c>
      <c r="H116" s="75">
        <v>345268.7361905399</v>
      </c>
      <c r="I116" s="75"/>
      <c r="J116" s="75">
        <v>49289789.666985326</v>
      </c>
      <c r="K116" s="8">
        <v>12449771.547669016</v>
      </c>
      <c r="L116" s="8">
        <v>0</v>
      </c>
      <c r="M116" s="74">
        <v>436834.08938795445</v>
      </c>
      <c r="N116" s="75">
        <v>-122794.062526954</v>
      </c>
      <c r="O116" s="75">
        <v>3622424.844576743</v>
      </c>
      <c r="P116" s="75">
        <v>3499630.7820497891</v>
      </c>
      <c r="Q116" s="78">
        <v>8950140.7656192258</v>
      </c>
      <c r="R116" s="78">
        <v>69643.029383345376</v>
      </c>
      <c r="S116" s="78">
        <v>0</v>
      </c>
      <c r="T116" s="78">
        <v>506477.11877129984</v>
      </c>
      <c r="U116" s="1"/>
      <c r="V116" s="1"/>
      <c r="W116" s="78">
        <v>18409.729510378009</v>
      </c>
      <c r="AA116" s="38">
        <v>436834.08938795445</v>
      </c>
    </row>
    <row r="117" spans="1:27" s="31" customFormat="1" ht="15.5" x14ac:dyDescent="0.35">
      <c r="A117" s="5">
        <v>48335</v>
      </c>
      <c r="B117" s="75">
        <v>0</v>
      </c>
      <c r="C117" s="75">
        <v>0</v>
      </c>
      <c r="D117" s="75">
        <v>0</v>
      </c>
      <c r="E117" s="75">
        <v>0</v>
      </c>
      <c r="F117" s="74">
        <v>61739561.214654341</v>
      </c>
      <c r="G117" s="75">
        <v>91565.35319741453</v>
      </c>
      <c r="H117" s="75">
        <v>345268.7361905399</v>
      </c>
      <c r="I117" s="75"/>
      <c r="J117" s="75">
        <v>49726623.756373286</v>
      </c>
      <c r="K117" s="8">
        <v>12012937.458281055</v>
      </c>
      <c r="L117" s="8">
        <v>0</v>
      </c>
      <c r="M117" s="74">
        <v>436834.08938795445</v>
      </c>
      <c r="N117" s="75">
        <v>-122794.062526954</v>
      </c>
      <c r="O117" s="75">
        <v>3499630.7820497891</v>
      </c>
      <c r="P117" s="75">
        <v>3376836.7195228352</v>
      </c>
      <c r="Q117" s="78">
        <v>8636100.7387582194</v>
      </c>
      <c r="R117" s="78">
        <v>67199.414317285075</v>
      </c>
      <c r="S117" s="78">
        <v>0</v>
      </c>
      <c r="T117" s="78">
        <v>504033.50370523951</v>
      </c>
      <c r="U117" s="1"/>
      <c r="V117" s="1"/>
      <c r="W117" s="78">
        <v>17763.774088967049</v>
      </c>
      <c r="AA117" s="38">
        <v>436834.08938795445</v>
      </c>
    </row>
    <row r="118" spans="1:27" s="31" customFormat="1" ht="15.5" x14ac:dyDescent="0.35">
      <c r="A118" s="79">
        <v>48366</v>
      </c>
      <c r="B118" s="80">
        <v>0</v>
      </c>
      <c r="C118" s="80">
        <v>0</v>
      </c>
      <c r="D118" s="80">
        <v>0</v>
      </c>
      <c r="E118" s="80">
        <v>0</v>
      </c>
      <c r="F118" s="81">
        <v>61739561.214654341</v>
      </c>
      <c r="G118" s="80">
        <v>91565.35319741453</v>
      </c>
      <c r="H118" s="80">
        <v>345268.7361905399</v>
      </c>
      <c r="I118" s="80"/>
      <c r="J118" s="80">
        <v>50163457.845761247</v>
      </c>
      <c r="K118" s="8">
        <v>11576103.368893094</v>
      </c>
      <c r="L118" s="82">
        <v>0</v>
      </c>
      <c r="M118" s="81">
        <v>436834.08938795445</v>
      </c>
      <c r="N118" s="80">
        <v>-122794.062526954</v>
      </c>
      <c r="O118" s="80">
        <v>3376836.7195228352</v>
      </c>
      <c r="P118" s="80">
        <v>3254042.6569958813</v>
      </c>
      <c r="Q118" s="83">
        <v>8322060.711897213</v>
      </c>
      <c r="R118" s="83">
        <v>64755.799251224773</v>
      </c>
      <c r="S118" s="83">
        <v>0</v>
      </c>
      <c r="T118" s="83">
        <v>501589.88863917923</v>
      </c>
      <c r="U118" s="1"/>
      <c r="V118" s="1"/>
      <c r="W118" s="78">
        <v>17117.81866755609</v>
      </c>
      <c r="AA118" s="38">
        <v>436834.08938795445</v>
      </c>
    </row>
    <row r="119" spans="1:27" s="31" customFormat="1" ht="15.5" x14ac:dyDescent="0.35">
      <c r="A119" s="5">
        <v>48396</v>
      </c>
      <c r="B119" s="75">
        <v>0</v>
      </c>
      <c r="C119" s="75">
        <v>0</v>
      </c>
      <c r="D119" s="75">
        <v>0</v>
      </c>
      <c r="E119" s="75">
        <v>0</v>
      </c>
      <c r="F119" s="74">
        <v>61739561.214654341</v>
      </c>
      <c r="G119" s="75">
        <v>91565.35319741453</v>
      </c>
      <c r="H119" s="75">
        <v>345268.7361905399</v>
      </c>
      <c r="I119" s="75"/>
      <c r="J119" s="75">
        <v>50600291.935149208</v>
      </c>
      <c r="K119" s="8">
        <v>11139269.279505134</v>
      </c>
      <c r="L119" s="8">
        <v>0</v>
      </c>
      <c r="M119" s="74">
        <v>436834.08938795445</v>
      </c>
      <c r="N119" s="75">
        <v>-122794.062526954</v>
      </c>
      <c r="O119" s="75">
        <v>3254042.6569958813</v>
      </c>
      <c r="P119" s="75">
        <v>3131248.5944689275</v>
      </c>
      <c r="Q119" s="78">
        <v>8008020.6850362066</v>
      </c>
      <c r="R119" s="78">
        <v>62312.184185164471</v>
      </c>
      <c r="S119" s="78">
        <v>0</v>
      </c>
      <c r="T119" s="78">
        <v>499146.2735731189</v>
      </c>
      <c r="U119" s="1"/>
      <c r="V119" s="1"/>
      <c r="W119" s="78">
        <v>16471.863246145131</v>
      </c>
      <c r="AA119" s="38">
        <v>436834.08938795445</v>
      </c>
    </row>
    <row r="120" spans="1:27" s="31" customFormat="1" ht="15.5" x14ac:dyDescent="0.35">
      <c r="A120" s="5">
        <v>48427</v>
      </c>
      <c r="B120" s="75">
        <v>0</v>
      </c>
      <c r="C120" s="75">
        <v>0</v>
      </c>
      <c r="D120" s="75">
        <v>0</v>
      </c>
      <c r="E120" s="75">
        <v>0</v>
      </c>
      <c r="F120" s="74">
        <v>61739561.214654341</v>
      </c>
      <c r="G120" s="75">
        <v>91565.35319741453</v>
      </c>
      <c r="H120" s="75">
        <v>345268.7361905399</v>
      </c>
      <c r="I120" s="75"/>
      <c r="J120" s="75">
        <v>51037126.024537168</v>
      </c>
      <c r="K120" s="8">
        <v>10702435.190117173</v>
      </c>
      <c r="L120" s="8">
        <v>0</v>
      </c>
      <c r="M120" s="74">
        <v>436834.08938795445</v>
      </c>
      <c r="N120" s="75">
        <v>-122794.062526954</v>
      </c>
      <c r="O120" s="75">
        <v>3131248.5944689275</v>
      </c>
      <c r="P120" s="75">
        <v>3008454.5319419736</v>
      </c>
      <c r="Q120" s="78">
        <v>7693980.6581751993</v>
      </c>
      <c r="R120" s="78">
        <v>59868.569119104162</v>
      </c>
      <c r="S120" s="78">
        <v>0</v>
      </c>
      <c r="T120" s="78">
        <v>496702.65850705863</v>
      </c>
      <c r="U120" s="1"/>
      <c r="V120" s="1"/>
      <c r="W120" s="78">
        <v>15825.907824734169</v>
      </c>
      <c r="AA120" s="38">
        <v>436834.08938795445</v>
      </c>
    </row>
    <row r="121" spans="1:27" s="31" customFormat="1" ht="15.5" x14ac:dyDescent="0.35">
      <c r="A121" s="79">
        <v>48458</v>
      </c>
      <c r="B121" s="80">
        <v>0</v>
      </c>
      <c r="C121" s="80">
        <v>0</v>
      </c>
      <c r="D121" s="80">
        <v>0</v>
      </c>
      <c r="E121" s="80">
        <v>0</v>
      </c>
      <c r="F121" s="81">
        <v>61739561.214654341</v>
      </c>
      <c r="G121" s="80">
        <v>91565.35319741453</v>
      </c>
      <c r="H121" s="80">
        <v>345268.7361905399</v>
      </c>
      <c r="I121" s="80"/>
      <c r="J121" s="80">
        <v>51473960.113925129</v>
      </c>
      <c r="K121" s="8">
        <v>10265601.100729212</v>
      </c>
      <c r="L121" s="82">
        <v>0</v>
      </c>
      <c r="M121" s="81">
        <v>436834.08938795445</v>
      </c>
      <c r="N121" s="80">
        <v>-122794.062526954</v>
      </c>
      <c r="O121" s="80">
        <v>3008454.5319419736</v>
      </c>
      <c r="P121" s="80">
        <v>2885660.4694150197</v>
      </c>
      <c r="Q121" s="83">
        <v>7379940.631314192</v>
      </c>
      <c r="R121" s="83">
        <v>57424.954053043846</v>
      </c>
      <c r="S121" s="83">
        <v>0</v>
      </c>
      <c r="T121" s="83">
        <v>494259.0434409983</v>
      </c>
      <c r="U121" s="1"/>
      <c r="V121" s="1"/>
      <c r="W121" s="78">
        <v>15179.952403323208</v>
      </c>
      <c r="AA121" s="38">
        <v>436834.08938795445</v>
      </c>
    </row>
    <row r="122" spans="1:27" s="31" customFormat="1" ht="15.5" x14ac:dyDescent="0.35">
      <c r="A122" s="5">
        <v>48488</v>
      </c>
      <c r="B122" s="75">
        <v>0</v>
      </c>
      <c r="C122" s="75">
        <v>0</v>
      </c>
      <c r="D122" s="75">
        <v>0</v>
      </c>
      <c r="E122" s="75">
        <v>0</v>
      </c>
      <c r="F122" s="74">
        <v>61739561.214654341</v>
      </c>
      <c r="G122" s="75">
        <v>91565.35319741453</v>
      </c>
      <c r="H122" s="75">
        <v>345268.7361905399</v>
      </c>
      <c r="I122" s="75"/>
      <c r="J122" s="75">
        <v>51910794.20331309</v>
      </c>
      <c r="K122" s="8">
        <v>9828767.0113412514</v>
      </c>
      <c r="L122" s="8">
        <v>0</v>
      </c>
      <c r="M122" s="74">
        <v>436834.08938795445</v>
      </c>
      <c r="N122" s="75">
        <v>-122794.062526954</v>
      </c>
      <c r="O122" s="75">
        <v>2885660.4694150197</v>
      </c>
      <c r="P122" s="75">
        <v>2762866.4068880659</v>
      </c>
      <c r="Q122" s="78">
        <v>7065900.6044531856</v>
      </c>
      <c r="R122" s="78">
        <v>54981.338986983545</v>
      </c>
      <c r="S122" s="78">
        <v>0</v>
      </c>
      <c r="T122" s="78">
        <v>491815.42837493797</v>
      </c>
      <c r="U122" s="1"/>
      <c r="V122" s="1"/>
      <c r="W122" s="78">
        <v>14533.996981912249</v>
      </c>
      <c r="AA122" s="38">
        <v>436834.08938795445</v>
      </c>
    </row>
    <row r="123" spans="1:27" s="31" customFormat="1" ht="15.5" x14ac:dyDescent="0.35">
      <c r="A123" s="5">
        <v>48519</v>
      </c>
      <c r="B123" s="75">
        <v>0</v>
      </c>
      <c r="C123" s="75">
        <v>0</v>
      </c>
      <c r="D123" s="75">
        <v>0</v>
      </c>
      <c r="E123" s="75">
        <v>0</v>
      </c>
      <c r="F123" s="74">
        <v>61739561.214654341</v>
      </c>
      <c r="G123" s="75">
        <v>91565.35319741453</v>
      </c>
      <c r="H123" s="75">
        <v>345268.7361905399</v>
      </c>
      <c r="I123" s="75"/>
      <c r="J123" s="75">
        <v>52347628.292701051</v>
      </c>
      <c r="K123" s="8">
        <v>9391932.9219532907</v>
      </c>
      <c r="L123" s="8">
        <v>0</v>
      </c>
      <c r="M123" s="74">
        <v>436834.08938795445</v>
      </c>
      <c r="N123" s="75">
        <v>-122794.062526954</v>
      </c>
      <c r="O123" s="75">
        <v>2762866.4068880659</v>
      </c>
      <c r="P123" s="75">
        <v>2640072.344361112</v>
      </c>
      <c r="Q123" s="78">
        <v>6751860.5775921792</v>
      </c>
      <c r="R123" s="78">
        <v>52537.723920923243</v>
      </c>
      <c r="S123" s="78">
        <v>0</v>
      </c>
      <c r="T123" s="78">
        <v>489371.8133088777</v>
      </c>
      <c r="U123" s="1"/>
      <c r="V123" s="1"/>
      <c r="W123" s="78">
        <v>13888.041560501289</v>
      </c>
      <c r="AA123" s="38">
        <v>436834.08938795445</v>
      </c>
    </row>
    <row r="124" spans="1:27" s="31" customFormat="1" ht="15.5" x14ac:dyDescent="0.35">
      <c r="A124" s="79">
        <v>48549</v>
      </c>
      <c r="B124" s="80">
        <v>0</v>
      </c>
      <c r="C124" s="80">
        <v>0</v>
      </c>
      <c r="D124" s="80">
        <v>0</v>
      </c>
      <c r="E124" s="80">
        <v>0</v>
      </c>
      <c r="F124" s="81">
        <v>61739561.214654341</v>
      </c>
      <c r="G124" s="80">
        <v>91565.35319741453</v>
      </c>
      <c r="H124" s="80">
        <v>345268.7361905399</v>
      </c>
      <c r="I124" s="80"/>
      <c r="J124" s="80">
        <v>52784462.382089011</v>
      </c>
      <c r="K124" s="8">
        <v>8955098.83256533</v>
      </c>
      <c r="L124" s="82">
        <v>0</v>
      </c>
      <c r="M124" s="81">
        <v>436834.08938795445</v>
      </c>
      <c r="N124" s="80">
        <v>-122794.062526954</v>
      </c>
      <c r="O124" s="80">
        <v>2640072.344361112</v>
      </c>
      <c r="P124" s="80">
        <v>2517278.2818341581</v>
      </c>
      <c r="Q124" s="83">
        <v>6437820.5507311719</v>
      </c>
      <c r="R124" s="83">
        <v>50094.108854862927</v>
      </c>
      <c r="S124" s="83">
        <v>0</v>
      </c>
      <c r="T124" s="83">
        <v>486928.19824281737</v>
      </c>
      <c r="U124" s="1"/>
      <c r="V124" s="1"/>
      <c r="W124" s="78">
        <v>13242.086139090328</v>
      </c>
      <c r="AA124" s="38">
        <v>436834.08938795445</v>
      </c>
    </row>
    <row r="125" spans="1:27" s="31" customFormat="1" ht="15.5" x14ac:dyDescent="0.35">
      <c r="A125" s="5">
        <v>48580</v>
      </c>
      <c r="B125" s="75">
        <v>0</v>
      </c>
      <c r="C125" s="75">
        <v>0</v>
      </c>
      <c r="D125" s="75">
        <v>0</v>
      </c>
      <c r="E125" s="75">
        <v>0</v>
      </c>
      <c r="F125" s="74">
        <v>61739561.214654341</v>
      </c>
      <c r="G125" s="75">
        <v>91565.35319741453</v>
      </c>
      <c r="H125" s="75">
        <v>345268.7361905399</v>
      </c>
      <c r="I125" s="75"/>
      <c r="J125" s="75">
        <v>53221296.471476972</v>
      </c>
      <c r="K125" s="8">
        <v>8518264.7431773692</v>
      </c>
      <c r="L125" s="8">
        <v>0</v>
      </c>
      <c r="M125" s="74">
        <v>436834.08938795445</v>
      </c>
      <c r="N125" s="75">
        <v>-122794.062526954</v>
      </c>
      <c r="O125" s="75">
        <v>2517278.2818341581</v>
      </c>
      <c r="P125" s="75">
        <v>2394484.2193072042</v>
      </c>
      <c r="Q125" s="78">
        <v>6123780.5238701645</v>
      </c>
      <c r="R125" s="78">
        <v>47650.493788802618</v>
      </c>
      <c r="S125" s="78">
        <v>0</v>
      </c>
      <c r="T125" s="78">
        <v>484484.58317675709</v>
      </c>
      <c r="U125" s="1"/>
      <c r="V125" s="1"/>
      <c r="W125" s="78">
        <v>12596.130717679369</v>
      </c>
      <c r="AA125" s="38">
        <v>436834.08938795445</v>
      </c>
    </row>
    <row r="126" spans="1:27" s="31" customFormat="1" ht="15.5" x14ac:dyDescent="0.35">
      <c r="A126" s="5">
        <v>48611</v>
      </c>
      <c r="B126" s="75">
        <v>0</v>
      </c>
      <c r="C126" s="75">
        <v>0</v>
      </c>
      <c r="D126" s="75">
        <v>0</v>
      </c>
      <c r="E126" s="75">
        <v>0</v>
      </c>
      <c r="F126" s="74">
        <v>61739561.214654341</v>
      </c>
      <c r="G126" s="75">
        <v>91565.35319741453</v>
      </c>
      <c r="H126" s="75">
        <v>345268.7361905399</v>
      </c>
      <c r="I126" s="75"/>
      <c r="J126" s="75">
        <v>53658130.560864933</v>
      </c>
      <c r="K126" s="8">
        <v>8081430.6537894085</v>
      </c>
      <c r="L126" s="8">
        <v>0</v>
      </c>
      <c r="M126" s="74">
        <v>436834.08938795445</v>
      </c>
      <c r="N126" s="75">
        <v>-122794.062526954</v>
      </c>
      <c r="O126" s="75">
        <v>2394484.2193072042</v>
      </c>
      <c r="P126" s="75">
        <v>2271690.1567802504</v>
      </c>
      <c r="Q126" s="78">
        <v>5809740.4970091581</v>
      </c>
      <c r="R126" s="78">
        <v>45206.878722742316</v>
      </c>
      <c r="S126" s="78">
        <v>0</v>
      </c>
      <c r="T126" s="78">
        <v>482040.96811069676</v>
      </c>
      <c r="U126" s="1"/>
      <c r="V126" s="1"/>
      <c r="W126" s="78">
        <v>11950.17529626841</v>
      </c>
      <c r="AA126" s="38">
        <v>436834.08938795445</v>
      </c>
    </row>
    <row r="127" spans="1:27" s="31" customFormat="1" ht="15.5" x14ac:dyDescent="0.35">
      <c r="A127" s="79">
        <v>48639</v>
      </c>
      <c r="B127" s="80">
        <v>0</v>
      </c>
      <c r="C127" s="80">
        <v>0</v>
      </c>
      <c r="D127" s="80">
        <v>0</v>
      </c>
      <c r="E127" s="80">
        <v>0</v>
      </c>
      <c r="F127" s="81">
        <v>61739561.214654341</v>
      </c>
      <c r="G127" s="80">
        <v>91565.35319741453</v>
      </c>
      <c r="H127" s="80">
        <v>345268.7361905399</v>
      </c>
      <c r="I127" s="80"/>
      <c r="J127" s="80">
        <v>54094964.650252894</v>
      </c>
      <c r="K127" s="8">
        <v>7644596.5644014478</v>
      </c>
      <c r="L127" s="82">
        <v>0</v>
      </c>
      <c r="M127" s="81">
        <v>436834.08938795445</v>
      </c>
      <c r="N127" s="80">
        <v>-122794.062526954</v>
      </c>
      <c r="O127" s="80">
        <v>2271690.1567802504</v>
      </c>
      <c r="P127" s="80">
        <v>2148896.0942532965</v>
      </c>
      <c r="Q127" s="83">
        <v>5495700.4701481517</v>
      </c>
      <c r="R127" s="83">
        <v>42763.263656682015</v>
      </c>
      <c r="S127" s="83">
        <v>0</v>
      </c>
      <c r="T127" s="83">
        <v>479597.35304463643</v>
      </c>
      <c r="U127" s="1"/>
      <c r="V127" s="1"/>
      <c r="W127" s="78">
        <v>11304.21987485745</v>
      </c>
      <c r="AA127" s="38">
        <v>436834.08938795445</v>
      </c>
    </row>
    <row r="128" spans="1:27" s="31" customFormat="1" ht="15.5" x14ac:dyDescent="0.35">
      <c r="A128" s="5">
        <v>48670</v>
      </c>
      <c r="B128" s="75">
        <v>0</v>
      </c>
      <c r="C128" s="75">
        <v>0</v>
      </c>
      <c r="D128" s="75">
        <v>0</v>
      </c>
      <c r="E128" s="75">
        <v>0</v>
      </c>
      <c r="F128" s="74">
        <v>61739561.214654341</v>
      </c>
      <c r="G128" s="75">
        <v>91565.35319741453</v>
      </c>
      <c r="H128" s="75">
        <v>345268.7361905399</v>
      </c>
      <c r="I128" s="75"/>
      <c r="J128" s="75">
        <v>54531798.739640854</v>
      </c>
      <c r="K128" s="8">
        <v>7207762.475013487</v>
      </c>
      <c r="L128" s="8">
        <v>0</v>
      </c>
      <c r="M128" s="74">
        <v>436834.08938795445</v>
      </c>
      <c r="N128" s="75">
        <v>-122794.062526954</v>
      </c>
      <c r="O128" s="75">
        <v>2148896.0942532965</v>
      </c>
      <c r="P128" s="75">
        <v>2026102.0317263424</v>
      </c>
      <c r="Q128" s="78">
        <v>5181660.4432871444</v>
      </c>
      <c r="R128" s="78">
        <v>40319.648590621699</v>
      </c>
      <c r="S128" s="78">
        <v>0</v>
      </c>
      <c r="T128" s="78">
        <v>477153.73797857616</v>
      </c>
      <c r="U128" s="1"/>
      <c r="V128" s="1"/>
      <c r="W128" s="78">
        <v>10658.264453446487</v>
      </c>
      <c r="AA128" s="38">
        <v>436834.08938795445</v>
      </c>
    </row>
    <row r="129" spans="1:27" s="31" customFormat="1" ht="15.5" x14ac:dyDescent="0.35">
      <c r="A129" s="5">
        <v>48700</v>
      </c>
      <c r="B129" s="75">
        <v>0</v>
      </c>
      <c r="C129" s="75">
        <v>0</v>
      </c>
      <c r="D129" s="75">
        <v>0</v>
      </c>
      <c r="E129" s="75">
        <v>0</v>
      </c>
      <c r="F129" s="74">
        <v>61739561.214654341</v>
      </c>
      <c r="G129" s="75">
        <v>91565.35319741453</v>
      </c>
      <c r="H129" s="75">
        <v>345268.7361905399</v>
      </c>
      <c r="I129" s="75"/>
      <c r="J129" s="75">
        <v>54968632.829028815</v>
      </c>
      <c r="K129" s="8">
        <v>6770928.3856255263</v>
      </c>
      <c r="L129" s="8">
        <v>0</v>
      </c>
      <c r="M129" s="74">
        <v>436834.08938795445</v>
      </c>
      <c r="N129" s="75">
        <v>-122794.062526954</v>
      </c>
      <c r="O129" s="75">
        <v>2026102.0317263424</v>
      </c>
      <c r="P129" s="75">
        <v>1903307.9691993883</v>
      </c>
      <c r="Q129" s="78">
        <v>4867620.416426138</v>
      </c>
      <c r="R129" s="78">
        <v>37876.033524561397</v>
      </c>
      <c r="S129" s="78">
        <v>0</v>
      </c>
      <c r="T129" s="78">
        <v>474710.12291251583</v>
      </c>
      <c r="U129" s="1"/>
      <c r="V129" s="1"/>
      <c r="W129" s="78">
        <v>10012.30903203553</v>
      </c>
      <c r="AA129" s="38">
        <v>436834.08938795445</v>
      </c>
    </row>
    <row r="130" spans="1:27" s="31" customFormat="1" ht="15.5" x14ac:dyDescent="0.35">
      <c r="A130" s="79">
        <v>48731</v>
      </c>
      <c r="B130" s="80">
        <v>0</v>
      </c>
      <c r="C130" s="80">
        <v>0</v>
      </c>
      <c r="D130" s="80">
        <v>0</v>
      </c>
      <c r="E130" s="80">
        <v>0</v>
      </c>
      <c r="F130" s="81">
        <v>61739561.214654341</v>
      </c>
      <c r="G130" s="80">
        <v>91565.35319741453</v>
      </c>
      <c r="H130" s="80">
        <v>345268.7361905399</v>
      </c>
      <c r="I130" s="80"/>
      <c r="J130" s="80">
        <v>55405466.918416776</v>
      </c>
      <c r="K130" s="8">
        <v>6334094.2962375656</v>
      </c>
      <c r="L130" s="82">
        <v>0</v>
      </c>
      <c r="M130" s="81">
        <v>436834.08938795445</v>
      </c>
      <c r="N130" s="80">
        <v>-122794.062526954</v>
      </c>
      <c r="O130" s="80">
        <v>1903307.9691993883</v>
      </c>
      <c r="P130" s="80">
        <v>1780513.9066724342</v>
      </c>
      <c r="Q130" s="83">
        <v>4553580.3895651316</v>
      </c>
      <c r="R130" s="83">
        <v>35432.418458501095</v>
      </c>
      <c r="S130" s="83">
        <v>0</v>
      </c>
      <c r="T130" s="83">
        <v>472266.50784645556</v>
      </c>
      <c r="U130" s="1"/>
      <c r="V130" s="1"/>
      <c r="W130" s="78">
        <v>9366.3536106245701</v>
      </c>
      <c r="AA130" s="38">
        <v>436834.08938795445</v>
      </c>
    </row>
    <row r="131" spans="1:27" s="31" customFormat="1" ht="15.5" x14ac:dyDescent="0.35">
      <c r="A131" s="5">
        <v>48761</v>
      </c>
      <c r="B131" s="75">
        <v>0</v>
      </c>
      <c r="C131" s="75">
        <v>0</v>
      </c>
      <c r="D131" s="75">
        <v>0</v>
      </c>
      <c r="E131" s="75">
        <v>0</v>
      </c>
      <c r="F131" s="74">
        <v>61739561.214654341</v>
      </c>
      <c r="G131" s="75">
        <v>91565.35319741453</v>
      </c>
      <c r="H131" s="75">
        <v>345268.7361905399</v>
      </c>
      <c r="I131" s="75"/>
      <c r="J131" s="75">
        <v>55842301.007804736</v>
      </c>
      <c r="K131" s="8">
        <v>5897260.2068496048</v>
      </c>
      <c r="L131" s="8">
        <v>0</v>
      </c>
      <c r="M131" s="74">
        <v>436834.08938795445</v>
      </c>
      <c r="N131" s="75">
        <v>-122794.062526954</v>
      </c>
      <c r="O131" s="75">
        <v>1780513.9066724342</v>
      </c>
      <c r="P131" s="75">
        <v>1657719.8441454801</v>
      </c>
      <c r="Q131" s="78">
        <v>4239540.3627041243</v>
      </c>
      <c r="R131" s="78">
        <v>32988.803392440779</v>
      </c>
      <c r="S131" s="78">
        <v>0</v>
      </c>
      <c r="T131" s="78">
        <v>469822.89278039522</v>
      </c>
      <c r="U131" s="1"/>
      <c r="V131" s="1"/>
      <c r="W131" s="78">
        <v>8720.3981892136089</v>
      </c>
      <c r="AA131" s="38">
        <v>436834.08938795445</v>
      </c>
    </row>
    <row r="132" spans="1:27" s="31" customFormat="1" ht="15.5" x14ac:dyDescent="0.35">
      <c r="A132" s="5">
        <v>48792</v>
      </c>
      <c r="B132" s="75">
        <v>0</v>
      </c>
      <c r="C132" s="75">
        <v>0</v>
      </c>
      <c r="D132" s="75">
        <v>0</v>
      </c>
      <c r="E132" s="75">
        <v>0</v>
      </c>
      <c r="F132" s="74">
        <v>61739561.214654341</v>
      </c>
      <c r="G132" s="75">
        <v>91565.35319741453</v>
      </c>
      <c r="H132" s="75">
        <v>345268.7361905399</v>
      </c>
      <c r="I132" s="75"/>
      <c r="J132" s="75">
        <v>56279135.097192697</v>
      </c>
      <c r="K132" s="8">
        <v>5460426.1174616441</v>
      </c>
      <c r="L132" s="8">
        <v>0</v>
      </c>
      <c r="M132" s="74">
        <v>436834.08938795445</v>
      </c>
      <c r="N132" s="75">
        <v>-122794.062526954</v>
      </c>
      <c r="O132" s="75">
        <v>1657719.8441454801</v>
      </c>
      <c r="P132" s="75">
        <v>1534925.781618526</v>
      </c>
      <c r="Q132" s="78">
        <v>3925500.3358431179</v>
      </c>
      <c r="R132" s="78">
        <v>30545.188326380478</v>
      </c>
      <c r="S132" s="78">
        <v>0</v>
      </c>
      <c r="T132" s="78">
        <v>467379.27771433489</v>
      </c>
      <c r="U132" s="1"/>
      <c r="V132" s="1"/>
      <c r="W132" s="78">
        <v>8074.4427678026505</v>
      </c>
      <c r="AA132" s="38">
        <v>436834.08938795445</v>
      </c>
    </row>
    <row r="133" spans="1:27" s="31" customFormat="1" ht="15.5" x14ac:dyDescent="0.35">
      <c r="A133" s="79">
        <v>48823</v>
      </c>
      <c r="B133" s="80">
        <v>0</v>
      </c>
      <c r="C133" s="80">
        <v>0</v>
      </c>
      <c r="D133" s="80">
        <v>0</v>
      </c>
      <c r="E133" s="80">
        <v>0</v>
      </c>
      <c r="F133" s="81">
        <v>61739561.214654341</v>
      </c>
      <c r="G133" s="80">
        <v>91565.35319741453</v>
      </c>
      <c r="H133" s="80">
        <v>345268.7361905399</v>
      </c>
      <c r="I133" s="80"/>
      <c r="J133" s="80">
        <v>56715969.186580658</v>
      </c>
      <c r="K133" s="8">
        <v>5023592.0280736834</v>
      </c>
      <c r="L133" s="82">
        <v>0</v>
      </c>
      <c r="M133" s="81">
        <v>436834.08938795445</v>
      </c>
      <c r="N133" s="80">
        <v>-122794.062526954</v>
      </c>
      <c r="O133" s="80">
        <v>1534925.781618526</v>
      </c>
      <c r="P133" s="80">
        <v>1412131.7190915719</v>
      </c>
      <c r="Q133" s="83">
        <v>3611460.3089821115</v>
      </c>
      <c r="R133" s="83">
        <v>28101.573260320176</v>
      </c>
      <c r="S133" s="83">
        <v>0</v>
      </c>
      <c r="T133" s="83">
        <v>464935.66264827462</v>
      </c>
      <c r="U133" s="1"/>
      <c r="V133" s="1"/>
      <c r="W133" s="78">
        <v>7428.4873463916911</v>
      </c>
      <c r="AA133" s="38">
        <v>436834.08938795445</v>
      </c>
    </row>
    <row r="134" spans="1:27" s="31" customFormat="1" ht="15.5" x14ac:dyDescent="0.35">
      <c r="A134" s="5">
        <v>48853</v>
      </c>
      <c r="B134" s="75">
        <v>0</v>
      </c>
      <c r="C134" s="75">
        <v>0</v>
      </c>
      <c r="D134" s="75">
        <v>0</v>
      </c>
      <c r="E134" s="75">
        <v>0</v>
      </c>
      <c r="F134" s="74">
        <v>61739561.214654341</v>
      </c>
      <c r="G134" s="75">
        <v>91565.35319741453</v>
      </c>
      <c r="H134" s="75">
        <v>345268.7361905399</v>
      </c>
      <c r="I134" s="75"/>
      <c r="J134" s="75">
        <v>57152803.275968619</v>
      </c>
      <c r="K134" s="8">
        <v>4586757.9386857226</v>
      </c>
      <c r="L134" s="8">
        <v>0</v>
      </c>
      <c r="M134" s="74">
        <v>436834.08938795445</v>
      </c>
      <c r="N134" s="75">
        <v>-122794.062526954</v>
      </c>
      <c r="O134" s="75">
        <v>1412131.7190915719</v>
      </c>
      <c r="P134" s="75">
        <v>1289337.6565646178</v>
      </c>
      <c r="Q134" s="78">
        <v>3297420.2821211051</v>
      </c>
      <c r="R134" s="78">
        <v>25657.958194259871</v>
      </c>
      <c r="S134" s="78">
        <v>0</v>
      </c>
      <c r="T134" s="78">
        <v>462492.04758221429</v>
      </c>
      <c r="U134" s="1"/>
      <c r="V134" s="1"/>
      <c r="W134" s="78">
        <v>6782.5319249807317</v>
      </c>
      <c r="AA134" s="38">
        <v>436834.08938795445</v>
      </c>
    </row>
    <row r="135" spans="1:27" s="31" customFormat="1" ht="15.5" x14ac:dyDescent="0.35">
      <c r="A135" s="5">
        <v>48884</v>
      </c>
      <c r="B135" s="75">
        <v>0</v>
      </c>
      <c r="C135" s="75">
        <v>0</v>
      </c>
      <c r="D135" s="75">
        <v>0</v>
      </c>
      <c r="E135" s="75">
        <v>0</v>
      </c>
      <c r="F135" s="74">
        <v>61739561.214654341</v>
      </c>
      <c r="G135" s="75">
        <v>91565.35319741453</v>
      </c>
      <c r="H135" s="75">
        <v>345268.7361905399</v>
      </c>
      <c r="I135" s="75"/>
      <c r="J135" s="75">
        <v>57589637.365356579</v>
      </c>
      <c r="K135" s="8">
        <v>4149923.8492977619</v>
      </c>
      <c r="L135" s="8">
        <v>0</v>
      </c>
      <c r="M135" s="74">
        <v>436834.08938795445</v>
      </c>
      <c r="N135" s="75">
        <v>-122794.062526954</v>
      </c>
      <c r="O135" s="75">
        <v>1289337.6565646178</v>
      </c>
      <c r="P135" s="75">
        <v>1166543.5940376637</v>
      </c>
      <c r="Q135" s="78">
        <v>2983380.2552600983</v>
      </c>
      <c r="R135" s="78">
        <v>23214.343128199565</v>
      </c>
      <c r="S135" s="78">
        <v>0</v>
      </c>
      <c r="T135" s="78">
        <v>460048.43251615402</v>
      </c>
      <c r="U135" s="1"/>
      <c r="V135" s="1"/>
      <c r="W135" s="78">
        <v>6136.5765035697705</v>
      </c>
      <c r="AA135" s="38">
        <v>436834.08938795445</v>
      </c>
    </row>
    <row r="136" spans="1:27" s="31" customFormat="1" ht="15.5" x14ac:dyDescent="0.35">
      <c r="A136" s="79">
        <v>48914</v>
      </c>
      <c r="B136" s="80">
        <v>0</v>
      </c>
      <c r="C136" s="80">
        <v>0</v>
      </c>
      <c r="D136" s="80">
        <v>0</v>
      </c>
      <c r="E136" s="80">
        <v>0</v>
      </c>
      <c r="F136" s="81">
        <v>61739561.214654341</v>
      </c>
      <c r="G136" s="80">
        <v>91565.35319741453</v>
      </c>
      <c r="H136" s="80">
        <v>345268.7361905399</v>
      </c>
      <c r="I136" s="80"/>
      <c r="J136" s="80">
        <v>58026471.45474454</v>
      </c>
      <c r="K136" s="8">
        <v>3713089.7599098012</v>
      </c>
      <c r="L136" s="82">
        <v>0</v>
      </c>
      <c r="M136" s="81">
        <v>436834.08938795445</v>
      </c>
      <c r="N136" s="80">
        <v>-122794.062526954</v>
      </c>
      <c r="O136" s="80">
        <v>1166543.5940376637</v>
      </c>
      <c r="P136" s="80">
        <v>1043749.5315107097</v>
      </c>
      <c r="Q136" s="83">
        <v>2669340.2283990914</v>
      </c>
      <c r="R136" s="83">
        <v>20770.728062139257</v>
      </c>
      <c r="S136" s="83">
        <v>0</v>
      </c>
      <c r="T136" s="83">
        <v>457604.81745009369</v>
      </c>
      <c r="U136" s="1"/>
      <c r="V136" s="1"/>
      <c r="W136" s="78">
        <v>5490.6210821588111</v>
      </c>
      <c r="AA136" s="38">
        <v>436834.08938795445</v>
      </c>
    </row>
    <row r="137" spans="1:27" s="31" customFormat="1" ht="15.5" x14ac:dyDescent="0.35">
      <c r="A137" s="5">
        <v>48945</v>
      </c>
      <c r="B137" s="75">
        <v>0</v>
      </c>
      <c r="C137" s="75">
        <v>0</v>
      </c>
      <c r="D137" s="75">
        <v>0</v>
      </c>
      <c r="E137" s="75">
        <v>0</v>
      </c>
      <c r="F137" s="74">
        <v>61739561.214654341</v>
      </c>
      <c r="G137" s="75">
        <v>91565.35319741453</v>
      </c>
      <c r="H137" s="75">
        <v>345268.7361905399</v>
      </c>
      <c r="I137" s="75"/>
      <c r="J137" s="75">
        <v>58463305.544132501</v>
      </c>
      <c r="K137" s="8">
        <v>3276255.6705218405</v>
      </c>
      <c r="L137" s="8">
        <v>0</v>
      </c>
      <c r="M137" s="74">
        <v>436834.08938795445</v>
      </c>
      <c r="N137" s="75">
        <v>-122794.062526954</v>
      </c>
      <c r="O137" s="75">
        <v>1043749.5315107097</v>
      </c>
      <c r="P137" s="75">
        <v>920955.46898375568</v>
      </c>
      <c r="Q137" s="78">
        <v>2355300.201538085</v>
      </c>
      <c r="R137" s="78">
        <v>18327.112996078955</v>
      </c>
      <c r="S137" s="78">
        <v>0</v>
      </c>
      <c r="T137" s="78">
        <v>455161.20238403342</v>
      </c>
      <c r="U137" s="1"/>
      <c r="V137" s="1"/>
      <c r="W137" s="78">
        <v>4844.6656607478517</v>
      </c>
      <c r="AA137" s="38">
        <v>436834.08938795445</v>
      </c>
    </row>
    <row r="138" spans="1:27" s="31" customFormat="1" ht="15.5" x14ac:dyDescent="0.35">
      <c r="A138" s="5">
        <v>48976</v>
      </c>
      <c r="B138" s="75">
        <v>0</v>
      </c>
      <c r="C138" s="75">
        <v>0</v>
      </c>
      <c r="D138" s="75">
        <v>0</v>
      </c>
      <c r="E138" s="75">
        <v>0</v>
      </c>
      <c r="F138" s="74">
        <v>61739561.214654341</v>
      </c>
      <c r="G138" s="75">
        <v>91565.35319741453</v>
      </c>
      <c r="H138" s="75">
        <v>345268.7361905399</v>
      </c>
      <c r="I138" s="75"/>
      <c r="J138" s="75">
        <v>58900139.633520462</v>
      </c>
      <c r="K138" s="8">
        <v>2839421.5811338797</v>
      </c>
      <c r="L138" s="8">
        <v>0</v>
      </c>
      <c r="M138" s="74">
        <v>436834.08938795445</v>
      </c>
      <c r="N138" s="75">
        <v>-122794.062526954</v>
      </c>
      <c r="O138" s="75">
        <v>920955.46898375568</v>
      </c>
      <c r="P138" s="75">
        <v>798161.40645680169</v>
      </c>
      <c r="Q138" s="78">
        <v>2041260.1746770781</v>
      </c>
      <c r="R138" s="78">
        <v>15883.497930018646</v>
      </c>
      <c r="S138" s="78">
        <v>0</v>
      </c>
      <c r="T138" s="78">
        <v>452717.58731797308</v>
      </c>
      <c r="U138" s="1"/>
      <c r="V138" s="1"/>
      <c r="W138" s="78">
        <v>4198.7102393368923</v>
      </c>
      <c r="AA138" s="38">
        <v>436834.08938795445</v>
      </c>
    </row>
    <row r="139" spans="1:27" s="31" customFormat="1" ht="15.5" x14ac:dyDescent="0.35">
      <c r="A139" s="79">
        <v>49004</v>
      </c>
      <c r="B139" s="80">
        <v>0</v>
      </c>
      <c r="C139" s="80">
        <v>0</v>
      </c>
      <c r="D139" s="80">
        <v>0</v>
      </c>
      <c r="E139" s="80">
        <v>0</v>
      </c>
      <c r="F139" s="81">
        <v>61739561.214654341</v>
      </c>
      <c r="G139" s="80">
        <v>91565.35319741453</v>
      </c>
      <c r="H139" s="80">
        <v>345268.7361905399</v>
      </c>
      <c r="I139" s="80"/>
      <c r="J139" s="80">
        <v>59336973.722908422</v>
      </c>
      <c r="K139" s="8">
        <v>2402587.491745919</v>
      </c>
      <c r="L139" s="82">
        <v>0</v>
      </c>
      <c r="M139" s="81">
        <v>436834.08938795445</v>
      </c>
      <c r="N139" s="80">
        <v>-122794.062526954</v>
      </c>
      <c r="O139" s="80">
        <v>798161.40645680169</v>
      </c>
      <c r="P139" s="80">
        <v>675367.3439298477</v>
      </c>
      <c r="Q139" s="83">
        <v>1727220.1478160713</v>
      </c>
      <c r="R139" s="83">
        <v>13439.882863958339</v>
      </c>
      <c r="S139" s="83">
        <v>0</v>
      </c>
      <c r="T139" s="83">
        <v>450273.97225191281</v>
      </c>
      <c r="U139" s="1"/>
      <c r="V139" s="1"/>
      <c r="W139" s="78">
        <v>3552.754817925932</v>
      </c>
      <c r="AA139" s="38">
        <v>436834.08938795445</v>
      </c>
    </row>
    <row r="140" spans="1:27" s="31" customFormat="1" ht="15.5" x14ac:dyDescent="0.35">
      <c r="A140" s="5">
        <v>49035</v>
      </c>
      <c r="B140" s="75">
        <v>0</v>
      </c>
      <c r="C140" s="75">
        <v>0</v>
      </c>
      <c r="D140" s="75">
        <v>0</v>
      </c>
      <c r="E140" s="75">
        <v>0</v>
      </c>
      <c r="F140" s="74">
        <v>61739561.214654341</v>
      </c>
      <c r="G140" s="75">
        <v>91565.35319741453</v>
      </c>
      <c r="H140" s="75">
        <v>345268.7361905399</v>
      </c>
      <c r="I140" s="75"/>
      <c r="J140" s="75">
        <v>59773807.812296383</v>
      </c>
      <c r="K140" s="8">
        <v>1965753.4023579583</v>
      </c>
      <c r="L140" s="8">
        <v>0</v>
      </c>
      <c r="M140" s="74">
        <v>436834.08938795445</v>
      </c>
      <c r="N140" s="75">
        <v>-122794.062526954</v>
      </c>
      <c r="O140" s="75">
        <v>675367.3439298477</v>
      </c>
      <c r="P140" s="75">
        <v>552573.28140289371</v>
      </c>
      <c r="Q140" s="78">
        <v>1413180.1209550644</v>
      </c>
      <c r="R140" s="78">
        <v>10996.267797898032</v>
      </c>
      <c r="S140" s="78">
        <v>0</v>
      </c>
      <c r="T140" s="78">
        <v>447830.35718585248</v>
      </c>
      <c r="U140" s="1"/>
      <c r="V140" s="1"/>
      <c r="W140" s="78">
        <v>2906.7993965149712</v>
      </c>
      <c r="AA140" s="38">
        <v>436834.08938795445</v>
      </c>
    </row>
    <row r="141" spans="1:27" s="31" customFormat="1" ht="15.5" x14ac:dyDescent="0.35">
      <c r="A141" s="5">
        <v>49065</v>
      </c>
      <c r="B141" s="75">
        <v>0</v>
      </c>
      <c r="C141" s="75">
        <v>0</v>
      </c>
      <c r="D141" s="75">
        <v>0</v>
      </c>
      <c r="E141" s="75">
        <v>0</v>
      </c>
      <c r="F141" s="74">
        <v>61739561.214654341</v>
      </c>
      <c r="G141" s="75">
        <v>91565.35319741453</v>
      </c>
      <c r="H141" s="75">
        <v>345268.7361905399</v>
      </c>
      <c r="I141" s="75"/>
      <c r="J141" s="75">
        <v>60210641.901684344</v>
      </c>
      <c r="K141" s="8">
        <v>1528919.3129699975</v>
      </c>
      <c r="L141" s="8">
        <v>0</v>
      </c>
      <c r="M141" s="74">
        <v>436834.08938795445</v>
      </c>
      <c r="N141" s="75">
        <v>-122794.062526954</v>
      </c>
      <c r="O141" s="75">
        <v>552573.28140289371</v>
      </c>
      <c r="P141" s="75">
        <v>429779.21887593972</v>
      </c>
      <c r="Q141" s="78">
        <v>1099140.0940940578</v>
      </c>
      <c r="R141" s="78">
        <v>8552.6527318377266</v>
      </c>
      <c r="S141" s="78">
        <v>0</v>
      </c>
      <c r="T141" s="78">
        <v>445386.74211979215</v>
      </c>
      <c r="U141" s="1"/>
      <c r="V141" s="1"/>
      <c r="W141" s="78">
        <v>2260.8439751040119</v>
      </c>
      <c r="AA141" s="38">
        <v>436834.08938795445</v>
      </c>
    </row>
    <row r="142" spans="1:27" s="31" customFormat="1" ht="15.5" x14ac:dyDescent="0.35">
      <c r="A142" s="79">
        <v>49096</v>
      </c>
      <c r="B142" s="80">
        <v>0</v>
      </c>
      <c r="C142" s="80">
        <v>0</v>
      </c>
      <c r="D142" s="80">
        <v>0</v>
      </c>
      <c r="E142" s="80">
        <v>0</v>
      </c>
      <c r="F142" s="81">
        <v>61739561.214654341</v>
      </c>
      <c r="G142" s="80">
        <v>91565.35319741453</v>
      </c>
      <c r="H142" s="80">
        <v>345268.7361905399</v>
      </c>
      <c r="I142" s="80"/>
      <c r="J142" s="80">
        <v>60647475.991072305</v>
      </c>
      <c r="K142" s="8">
        <v>1092085.2235820368</v>
      </c>
      <c r="L142" s="82">
        <v>0</v>
      </c>
      <c r="M142" s="81">
        <v>436834.08938795445</v>
      </c>
      <c r="N142" s="80">
        <v>-122794.062526954</v>
      </c>
      <c r="O142" s="80">
        <v>429779.21887593972</v>
      </c>
      <c r="P142" s="80">
        <v>306985.15634898574</v>
      </c>
      <c r="Q142" s="83">
        <v>785100.06723305106</v>
      </c>
      <c r="R142" s="83">
        <v>6109.0376657774204</v>
      </c>
      <c r="S142" s="83">
        <v>0</v>
      </c>
      <c r="T142" s="83">
        <v>442943.12705373188</v>
      </c>
      <c r="U142" s="1"/>
      <c r="V142" s="1"/>
      <c r="W142" s="78">
        <v>1614.888553693052</v>
      </c>
      <c r="AA142" s="38">
        <v>436834.08938795445</v>
      </c>
    </row>
    <row r="143" spans="1:27" s="31" customFormat="1" ht="15.5" x14ac:dyDescent="0.35">
      <c r="A143" s="5">
        <v>49126</v>
      </c>
      <c r="B143" s="75">
        <v>0</v>
      </c>
      <c r="C143" s="75">
        <v>0</v>
      </c>
      <c r="D143" s="75">
        <v>0</v>
      </c>
      <c r="E143" s="75">
        <v>0</v>
      </c>
      <c r="F143" s="74">
        <v>61739561.214654341</v>
      </c>
      <c r="G143" s="75">
        <v>76304.460997845454</v>
      </c>
      <c r="H143" s="75">
        <v>287723.94682544994</v>
      </c>
      <c r="I143" s="75"/>
      <c r="J143" s="75">
        <v>61011504.398895599</v>
      </c>
      <c r="K143" s="8">
        <v>728056.81575874239</v>
      </c>
      <c r="L143" s="8">
        <v>0</v>
      </c>
      <c r="M143" s="74">
        <v>364028.40782329539</v>
      </c>
      <c r="N143" s="75">
        <v>-102328.38543912834</v>
      </c>
      <c r="O143" s="75">
        <v>306985.15634898574</v>
      </c>
      <c r="P143" s="75">
        <v>204656.77090985741</v>
      </c>
      <c r="Q143" s="78">
        <v>523400.04484888498</v>
      </c>
      <c r="R143" s="78">
        <v>4072.6917773938799</v>
      </c>
      <c r="S143" s="78">
        <v>0</v>
      </c>
      <c r="T143" s="78">
        <v>368101.09960068925</v>
      </c>
      <c r="U143" s="1"/>
      <c r="V143" s="1"/>
      <c r="W143" s="78">
        <v>1076.5923691839316</v>
      </c>
      <c r="AA143" s="38">
        <v>364028.40782329539</v>
      </c>
    </row>
    <row r="144" spans="1:27" s="31" customFormat="1" ht="15.5" x14ac:dyDescent="0.35">
      <c r="A144" s="5">
        <v>49157</v>
      </c>
      <c r="B144" s="75">
        <v>0</v>
      </c>
      <c r="C144" s="75">
        <v>0</v>
      </c>
      <c r="D144" s="75">
        <v>0</v>
      </c>
      <c r="E144" s="75">
        <v>0</v>
      </c>
      <c r="F144" s="74">
        <v>61739561.214654341</v>
      </c>
      <c r="G144" s="75">
        <v>61043.568798276348</v>
      </c>
      <c r="H144" s="75">
        <v>230179.15746035994</v>
      </c>
      <c r="I144" s="75"/>
      <c r="J144" s="75">
        <v>61302727.125154234</v>
      </c>
      <c r="K144" s="8">
        <v>436834.08950010687</v>
      </c>
      <c r="L144" s="8">
        <v>0</v>
      </c>
      <c r="M144" s="74">
        <v>291222.72625863628</v>
      </c>
      <c r="N144" s="75">
        <v>-81862.708351302659</v>
      </c>
      <c r="O144" s="75">
        <v>204656.77090985741</v>
      </c>
      <c r="P144" s="75">
        <v>122794.06255855475</v>
      </c>
      <c r="Q144" s="78">
        <v>314040.02694155212</v>
      </c>
      <c r="R144" s="78">
        <v>2443.6150666870476</v>
      </c>
      <c r="S144" s="78">
        <v>0</v>
      </c>
      <c r="T144" s="78">
        <v>293666.34132532333</v>
      </c>
      <c r="U144" s="1"/>
      <c r="V144" s="1"/>
      <c r="W144" s="78">
        <v>645.95542157663533</v>
      </c>
      <c r="AA144" s="38">
        <v>291222.72625863628</v>
      </c>
    </row>
    <row r="145" spans="1:27" s="31" customFormat="1" ht="15.5" x14ac:dyDescent="0.35">
      <c r="A145" s="79">
        <v>49188</v>
      </c>
      <c r="B145" s="80">
        <v>0</v>
      </c>
      <c r="C145" s="80">
        <v>0</v>
      </c>
      <c r="D145" s="80">
        <v>0</v>
      </c>
      <c r="E145" s="80">
        <v>0</v>
      </c>
      <c r="F145" s="81">
        <v>61739561.214654341</v>
      </c>
      <c r="G145" s="80">
        <v>45782.676598707265</v>
      </c>
      <c r="H145" s="80">
        <v>172634.36809526995</v>
      </c>
      <c r="I145" s="80"/>
      <c r="J145" s="80">
        <v>61521144.169848211</v>
      </c>
      <c r="K145" s="8">
        <v>218417.04480613023</v>
      </c>
      <c r="L145" s="82">
        <v>0</v>
      </c>
      <c r="M145" s="81">
        <v>218417.04469397722</v>
      </c>
      <c r="N145" s="80">
        <v>-61397.031263477002</v>
      </c>
      <c r="O145" s="80">
        <v>122794.06255855475</v>
      </c>
      <c r="P145" s="80">
        <v>61397.031295077752</v>
      </c>
      <c r="Q145" s="83">
        <v>157020.01351105247</v>
      </c>
      <c r="R145" s="83">
        <v>1221.8075336569236</v>
      </c>
      <c r="S145" s="83">
        <v>0</v>
      </c>
      <c r="T145" s="83">
        <v>219638.85222763414</v>
      </c>
      <c r="U145" s="1"/>
      <c r="V145" s="1"/>
      <c r="W145" s="78">
        <v>322.97771087116308</v>
      </c>
      <c r="AA145" s="38">
        <v>218417.04469397722</v>
      </c>
    </row>
    <row r="146" spans="1:27" s="31" customFormat="1" ht="15.5" x14ac:dyDescent="0.35">
      <c r="A146" s="5">
        <v>49218</v>
      </c>
      <c r="B146" s="75">
        <v>0</v>
      </c>
      <c r="C146" s="75">
        <v>0</v>
      </c>
      <c r="D146" s="75">
        <v>0</v>
      </c>
      <c r="E146" s="75">
        <v>0</v>
      </c>
      <c r="F146" s="74">
        <v>61739561.214654341</v>
      </c>
      <c r="G146" s="75">
        <v>30521.784399138174</v>
      </c>
      <c r="H146" s="75">
        <v>115089.57873017997</v>
      </c>
      <c r="I146" s="75"/>
      <c r="J146" s="75">
        <v>61666755.532977529</v>
      </c>
      <c r="K146" s="8">
        <v>72805.68167681247</v>
      </c>
      <c r="L146" s="8">
        <v>0</v>
      </c>
      <c r="M146" s="74">
        <v>145611.36312931814</v>
      </c>
      <c r="N146" s="75">
        <v>-40931.35417565133</v>
      </c>
      <c r="O146" s="75">
        <v>61397.031295077752</v>
      </c>
      <c r="P146" s="75">
        <v>20465.677119426422</v>
      </c>
      <c r="Q146" s="78">
        <v>52340.004557386048</v>
      </c>
      <c r="R146" s="78">
        <v>407.26917830350749</v>
      </c>
      <c r="S146" s="78">
        <v>0</v>
      </c>
      <c r="T146" s="78">
        <v>146018.63230762165</v>
      </c>
      <c r="U146" s="1"/>
      <c r="V146" s="1"/>
      <c r="W146" s="78">
        <v>107.65923706751488</v>
      </c>
      <c r="AA146" s="38">
        <v>145611.36312931814</v>
      </c>
    </row>
    <row r="147" spans="1:27" s="31" customFormat="1" ht="15.5" x14ac:dyDescent="0.35">
      <c r="A147" s="5">
        <v>49249</v>
      </c>
      <c r="B147" s="75">
        <v>0</v>
      </c>
      <c r="C147" s="75">
        <v>0</v>
      </c>
      <c r="D147" s="75">
        <v>0</v>
      </c>
      <c r="E147" s="75">
        <v>0</v>
      </c>
      <c r="F147" s="74">
        <v>61739561.214654341</v>
      </c>
      <c r="G147" s="75">
        <v>15260.892199569087</v>
      </c>
      <c r="H147" s="75">
        <v>57544.789365089986</v>
      </c>
      <c r="I147" s="75"/>
      <c r="J147" s="75">
        <v>61739561.214542188</v>
      </c>
      <c r="K147" s="8">
        <v>1.1215358972549438E-4</v>
      </c>
      <c r="L147" s="8">
        <v>0</v>
      </c>
      <c r="M147" s="74">
        <v>72805.681564659069</v>
      </c>
      <c r="N147" s="75">
        <v>-20465.677087825665</v>
      </c>
      <c r="O147" s="75">
        <v>20465.677119426422</v>
      </c>
      <c r="P147" s="75">
        <v>3.1600757210981101E-5</v>
      </c>
      <c r="Q147" s="78">
        <v>8.0552832514513284E-5</v>
      </c>
      <c r="R147" s="78">
        <v>6.267994469170583E-7</v>
      </c>
      <c r="S147" s="78">
        <v>0</v>
      </c>
      <c r="T147" s="78">
        <v>72805.681565285864</v>
      </c>
      <c r="U147" s="1"/>
      <c r="V147" s="1"/>
      <c r="W147" s="78">
        <v>1.6569078595764101E-7</v>
      </c>
      <c r="AA147" s="38">
        <v>72805.681564659069</v>
      </c>
    </row>
    <row r="148" spans="1:27" s="31" customFormat="1" ht="15.5" x14ac:dyDescent="0.35">
      <c r="A148" s="79">
        <v>49279</v>
      </c>
      <c r="B148" s="80">
        <v>0</v>
      </c>
      <c r="C148" s="80">
        <v>0</v>
      </c>
      <c r="D148" s="80">
        <v>0</v>
      </c>
      <c r="E148" s="80">
        <v>0</v>
      </c>
      <c r="F148" s="81">
        <v>61739561.214654341</v>
      </c>
      <c r="G148" s="80">
        <v>0</v>
      </c>
      <c r="H148" s="80">
        <v>0</v>
      </c>
      <c r="I148" s="80"/>
      <c r="J148" s="80">
        <v>61739561.214542188</v>
      </c>
      <c r="K148" s="8">
        <v>1.1215358972549438E-4</v>
      </c>
      <c r="L148" s="82">
        <v>0</v>
      </c>
      <c r="M148" s="81">
        <v>0</v>
      </c>
      <c r="N148" s="80">
        <v>0</v>
      </c>
      <c r="O148" s="80">
        <v>3.1600757210981101E-5</v>
      </c>
      <c r="P148" s="80">
        <v>3.1600757210981101E-5</v>
      </c>
      <c r="Q148" s="83">
        <v>8.0552832514513284E-5</v>
      </c>
      <c r="R148" s="83">
        <v>6.267994469170583E-7</v>
      </c>
      <c r="S148" s="83">
        <v>0</v>
      </c>
      <c r="T148" s="83">
        <v>6.267994469170583E-7</v>
      </c>
      <c r="U148" s="1"/>
      <c r="V148" s="1"/>
      <c r="W148" s="78">
        <v>1.6569078595764101E-7</v>
      </c>
      <c r="AA148" s="38">
        <v>0</v>
      </c>
    </row>
    <row r="149" spans="1:27" s="31" customFormat="1" ht="15.5" x14ac:dyDescent="0.35">
      <c r="A149" s="5">
        <v>49310</v>
      </c>
      <c r="B149" s="75">
        <v>0</v>
      </c>
      <c r="C149" s="75">
        <v>0</v>
      </c>
      <c r="D149" s="75">
        <v>0</v>
      </c>
      <c r="E149" s="75">
        <v>0</v>
      </c>
      <c r="F149" s="74">
        <v>61739561.214654341</v>
      </c>
      <c r="G149" s="75">
        <v>0</v>
      </c>
      <c r="H149" s="75">
        <v>0</v>
      </c>
      <c r="I149" s="75"/>
      <c r="J149" s="75">
        <v>61739561.214542188</v>
      </c>
      <c r="K149" s="8">
        <v>1.1215358972549438E-4</v>
      </c>
      <c r="L149" s="8">
        <v>0</v>
      </c>
      <c r="M149" s="74">
        <v>0</v>
      </c>
      <c r="N149" s="75">
        <v>0</v>
      </c>
      <c r="O149" s="75">
        <v>3.1600757210981101E-5</v>
      </c>
      <c r="P149" s="75">
        <v>3.1600757210981101E-5</v>
      </c>
      <c r="Q149" s="78">
        <v>8.0552832514513284E-5</v>
      </c>
      <c r="R149" s="78">
        <v>6.267994469170583E-7</v>
      </c>
      <c r="S149" s="78">
        <v>0</v>
      </c>
      <c r="T149" s="78">
        <v>6.267994469170583E-7</v>
      </c>
      <c r="U149" s="1"/>
      <c r="V149" s="1"/>
      <c r="W149" s="78">
        <v>1.6569078595764101E-7</v>
      </c>
      <c r="AA149" s="38">
        <v>0</v>
      </c>
    </row>
    <row r="150" spans="1:27" s="31" customFormat="1" ht="15.5" x14ac:dyDescent="0.35">
      <c r="A150" s="5">
        <v>49341</v>
      </c>
      <c r="B150" s="75">
        <v>0</v>
      </c>
      <c r="C150" s="75">
        <v>0</v>
      </c>
      <c r="D150" s="75">
        <v>0</v>
      </c>
      <c r="E150" s="75">
        <v>0</v>
      </c>
      <c r="F150" s="74">
        <v>61739561.214654341</v>
      </c>
      <c r="G150" s="75">
        <v>0</v>
      </c>
      <c r="H150" s="75">
        <v>0</v>
      </c>
      <c r="I150" s="75"/>
      <c r="J150" s="75">
        <v>61739561.214542188</v>
      </c>
      <c r="K150" s="8">
        <v>1.1215358972549438E-4</v>
      </c>
      <c r="L150" s="8">
        <v>0</v>
      </c>
      <c r="M150" s="74">
        <v>0</v>
      </c>
      <c r="N150" s="75">
        <v>0</v>
      </c>
      <c r="O150" s="75">
        <v>3.1600757210981101E-5</v>
      </c>
      <c r="P150" s="75">
        <v>3.1600757210981101E-5</v>
      </c>
      <c r="Q150" s="78">
        <v>8.0552832514513284E-5</v>
      </c>
      <c r="R150" s="78">
        <v>6.267994469170583E-7</v>
      </c>
      <c r="S150" s="78">
        <v>0</v>
      </c>
      <c r="T150" s="78">
        <v>6.267994469170583E-7</v>
      </c>
      <c r="U150" s="1"/>
      <c r="V150" s="1"/>
      <c r="W150" s="78">
        <v>1.6569078595764101E-7</v>
      </c>
      <c r="AA150" s="38">
        <v>0</v>
      </c>
    </row>
    <row r="151" spans="1:27" s="31" customFormat="1" ht="15.5" x14ac:dyDescent="0.35">
      <c r="A151" s="79">
        <v>49369</v>
      </c>
      <c r="B151" s="80">
        <v>0</v>
      </c>
      <c r="C151" s="80">
        <v>0</v>
      </c>
      <c r="D151" s="80">
        <v>0</v>
      </c>
      <c r="E151" s="80">
        <v>0</v>
      </c>
      <c r="F151" s="81">
        <v>61739561.214654341</v>
      </c>
      <c r="G151" s="80">
        <v>0</v>
      </c>
      <c r="H151" s="80">
        <v>0</v>
      </c>
      <c r="I151" s="80"/>
      <c r="J151" s="80">
        <v>61739561.214542188</v>
      </c>
      <c r="K151" s="8">
        <v>1.1215358972549438E-4</v>
      </c>
      <c r="L151" s="82">
        <v>0</v>
      </c>
      <c r="M151" s="81">
        <v>0</v>
      </c>
      <c r="N151" s="80">
        <v>0</v>
      </c>
      <c r="O151" s="80">
        <v>3.1600757210981101E-5</v>
      </c>
      <c r="P151" s="80">
        <v>3.1600757210981101E-5</v>
      </c>
      <c r="Q151" s="83">
        <v>8.0552832514513284E-5</v>
      </c>
      <c r="R151" s="83">
        <v>6.267994469170583E-7</v>
      </c>
      <c r="S151" s="83">
        <v>0</v>
      </c>
      <c r="T151" s="83">
        <v>6.267994469170583E-7</v>
      </c>
      <c r="U151" s="1"/>
      <c r="V151" s="1"/>
      <c r="W151" s="78">
        <v>1.6569078595764101E-7</v>
      </c>
      <c r="AA151" s="38">
        <v>0</v>
      </c>
    </row>
    <row r="152" spans="1:27" s="31" customFormat="1" ht="15.5" x14ac:dyDescent="0.35">
      <c r="A152" s="5">
        <v>49400</v>
      </c>
      <c r="B152" s="75">
        <v>0</v>
      </c>
      <c r="C152" s="75">
        <v>0</v>
      </c>
      <c r="D152" s="75">
        <v>0</v>
      </c>
      <c r="E152" s="75">
        <v>0</v>
      </c>
      <c r="F152" s="74">
        <v>61739561.214654341</v>
      </c>
      <c r="G152" s="75">
        <v>0</v>
      </c>
      <c r="H152" s="75">
        <v>0</v>
      </c>
      <c r="I152" s="75"/>
      <c r="J152" s="75">
        <v>61739561.214542188</v>
      </c>
      <c r="K152" s="8">
        <v>1.1215358972549438E-4</v>
      </c>
      <c r="L152" s="8">
        <v>0</v>
      </c>
      <c r="M152" s="74">
        <v>0</v>
      </c>
      <c r="N152" s="75">
        <v>0</v>
      </c>
      <c r="O152" s="75">
        <v>3.1600757210981101E-5</v>
      </c>
      <c r="P152" s="75">
        <v>3.1600757210981101E-5</v>
      </c>
      <c r="Q152" s="78">
        <v>8.0552832514513284E-5</v>
      </c>
      <c r="R152" s="78">
        <v>6.267994469170583E-7</v>
      </c>
      <c r="S152" s="78">
        <v>0</v>
      </c>
      <c r="T152" s="78">
        <v>6.267994469170583E-7</v>
      </c>
      <c r="U152" s="1"/>
      <c r="V152" s="1"/>
      <c r="W152" s="78">
        <v>1.6569078595764101E-7</v>
      </c>
      <c r="AA152" s="38">
        <v>0</v>
      </c>
    </row>
    <row r="153" spans="1:27" s="31" customFormat="1" ht="15.5" x14ac:dyDescent="0.35">
      <c r="A153" s="5">
        <v>49430</v>
      </c>
      <c r="B153" s="75">
        <v>0</v>
      </c>
      <c r="C153" s="75">
        <v>0</v>
      </c>
      <c r="D153" s="75">
        <v>0</v>
      </c>
      <c r="E153" s="75">
        <v>0</v>
      </c>
      <c r="F153" s="74">
        <v>61739561.214654341</v>
      </c>
      <c r="G153" s="75">
        <v>0</v>
      </c>
      <c r="H153" s="75">
        <v>0</v>
      </c>
      <c r="I153" s="75"/>
      <c r="J153" s="75">
        <v>61739561.214542188</v>
      </c>
      <c r="K153" s="8">
        <v>1.1215358972549438E-4</v>
      </c>
      <c r="L153" s="8">
        <v>0</v>
      </c>
      <c r="M153" s="74">
        <v>0</v>
      </c>
      <c r="N153" s="75">
        <v>0</v>
      </c>
      <c r="O153" s="75">
        <v>3.1600757210981101E-5</v>
      </c>
      <c r="P153" s="75">
        <v>3.1600757210981101E-5</v>
      </c>
      <c r="Q153" s="78">
        <v>8.0552832514513284E-5</v>
      </c>
      <c r="R153" s="78">
        <v>6.267994469170583E-7</v>
      </c>
      <c r="S153" s="78">
        <v>0</v>
      </c>
      <c r="T153" s="78">
        <v>6.267994469170583E-7</v>
      </c>
      <c r="U153" s="1"/>
      <c r="V153" s="1"/>
      <c r="W153" s="78">
        <v>1.6569078595764101E-7</v>
      </c>
      <c r="AA153" s="38">
        <v>0</v>
      </c>
    </row>
    <row r="154" spans="1:27" s="31" customFormat="1" ht="15.5" x14ac:dyDescent="0.35">
      <c r="A154" s="79">
        <v>49461</v>
      </c>
      <c r="B154" s="84">
        <v>0</v>
      </c>
      <c r="C154" s="84">
        <v>0</v>
      </c>
      <c r="D154" s="84">
        <v>0</v>
      </c>
      <c r="E154" s="84">
        <v>0</v>
      </c>
      <c r="F154" s="81">
        <v>61739561.214654341</v>
      </c>
      <c r="G154" s="80">
        <v>0</v>
      </c>
      <c r="H154" s="80">
        <v>0</v>
      </c>
      <c r="I154" s="80"/>
      <c r="J154" s="84">
        <v>61739561.214542188</v>
      </c>
      <c r="K154" s="8">
        <v>1.1215358972549438E-4</v>
      </c>
      <c r="L154" s="82">
        <v>0</v>
      </c>
      <c r="M154" s="81">
        <v>0</v>
      </c>
      <c r="N154" s="84">
        <v>0</v>
      </c>
      <c r="O154" s="84">
        <v>3.1600757210981101E-5</v>
      </c>
      <c r="P154" s="84">
        <v>3.1600757210981101E-5</v>
      </c>
      <c r="Q154" s="85">
        <v>8.0552832514513284E-5</v>
      </c>
      <c r="R154" s="85">
        <v>6.267994469170583E-7</v>
      </c>
      <c r="S154" s="83">
        <v>0</v>
      </c>
      <c r="T154" s="85">
        <v>6.267994469170583E-7</v>
      </c>
      <c r="U154" s="1"/>
      <c r="V154" s="1"/>
      <c r="W154" s="86">
        <v>1.6569078595764101E-7</v>
      </c>
      <c r="AA154" s="38">
        <v>0</v>
      </c>
    </row>
    <row r="155" spans="1:27" s="31" customFormat="1" ht="17" x14ac:dyDescent="0.5">
      <c r="A155" s="5">
        <v>49491</v>
      </c>
      <c r="B155" s="29">
        <v>0</v>
      </c>
      <c r="C155" s="87"/>
      <c r="D155" s="87"/>
      <c r="E155" s="87"/>
      <c r="F155" s="74">
        <v>61739561.214654341</v>
      </c>
      <c r="G155" s="75">
        <v>0</v>
      </c>
      <c r="H155" s="75">
        <v>0</v>
      </c>
      <c r="I155" s="75"/>
      <c r="J155" s="29">
        <v>61739561.214542188</v>
      </c>
      <c r="K155" s="8">
        <v>1.1215358972549438E-4</v>
      </c>
      <c r="L155" s="8">
        <v>0</v>
      </c>
      <c r="M155" s="74">
        <v>0</v>
      </c>
      <c r="N155" s="29">
        <v>0</v>
      </c>
      <c r="O155" s="29">
        <v>3.1600757210981101E-5</v>
      </c>
      <c r="P155" s="29">
        <v>3.1600757210981101E-5</v>
      </c>
      <c r="Q155" s="88">
        <v>8.0552832514513284E-5</v>
      </c>
      <c r="R155" s="88">
        <v>6.267994469170583E-7</v>
      </c>
      <c r="S155" s="78">
        <v>0</v>
      </c>
      <c r="T155" s="88">
        <v>6.267994469170583E-7</v>
      </c>
      <c r="U155" s="1"/>
      <c r="V155" s="1"/>
      <c r="W155" s="86">
        <v>1.6569078595764101E-7</v>
      </c>
      <c r="AA155" s="38">
        <v>0</v>
      </c>
    </row>
    <row r="156" spans="1:27" s="31" customFormat="1" ht="17" x14ac:dyDescent="0.5">
      <c r="A156" s="5">
        <v>49522</v>
      </c>
      <c r="B156" s="29">
        <v>0</v>
      </c>
      <c r="C156" s="87"/>
      <c r="D156" s="87"/>
      <c r="E156" s="87"/>
      <c r="F156" s="74">
        <v>61739561.214654341</v>
      </c>
      <c r="G156" s="75">
        <v>0</v>
      </c>
      <c r="H156" s="75">
        <v>0</v>
      </c>
      <c r="I156" s="75"/>
      <c r="J156" s="29">
        <v>61739561.214542188</v>
      </c>
      <c r="K156" s="8">
        <v>1.1215358972549438E-4</v>
      </c>
      <c r="L156" s="8">
        <v>0</v>
      </c>
      <c r="M156" s="74">
        <v>0</v>
      </c>
      <c r="N156" s="29">
        <v>0</v>
      </c>
      <c r="O156" s="29">
        <v>3.1600757210981101E-5</v>
      </c>
      <c r="P156" s="29">
        <v>3.1600757210981101E-5</v>
      </c>
      <c r="Q156" s="88">
        <v>8.0552832514513284E-5</v>
      </c>
      <c r="R156" s="88">
        <v>6.267994469170583E-7</v>
      </c>
      <c r="S156" s="78">
        <v>0</v>
      </c>
      <c r="T156" s="88">
        <v>6.267994469170583E-7</v>
      </c>
      <c r="U156" s="1"/>
      <c r="V156" s="1"/>
      <c r="W156" s="86">
        <v>1.6569078595764101E-7</v>
      </c>
      <c r="AA156" s="38">
        <v>0</v>
      </c>
    </row>
    <row r="157" spans="1:27" s="31" customFormat="1" ht="17" x14ac:dyDescent="0.5">
      <c r="A157" s="79">
        <v>49553</v>
      </c>
      <c r="B157" s="84">
        <v>0</v>
      </c>
      <c r="C157" s="89"/>
      <c r="D157" s="89"/>
      <c r="E157" s="89"/>
      <c r="F157" s="81">
        <v>61739561.214654341</v>
      </c>
      <c r="G157" s="80">
        <v>0</v>
      </c>
      <c r="H157" s="80">
        <v>0</v>
      </c>
      <c r="I157" s="80"/>
      <c r="J157" s="84">
        <v>61739561.214542188</v>
      </c>
      <c r="K157" s="8">
        <v>1.1215358972549438E-4</v>
      </c>
      <c r="L157" s="82">
        <v>0</v>
      </c>
      <c r="M157" s="81">
        <v>0</v>
      </c>
      <c r="N157" s="84">
        <v>0</v>
      </c>
      <c r="O157" s="84">
        <v>3.1600757210981101E-5</v>
      </c>
      <c r="P157" s="84">
        <v>3.1600757210981101E-5</v>
      </c>
      <c r="Q157" s="85">
        <v>8.0552832514513284E-5</v>
      </c>
      <c r="R157" s="85">
        <v>6.267994469170583E-7</v>
      </c>
      <c r="S157" s="83">
        <v>0</v>
      </c>
      <c r="T157" s="85">
        <v>6.267994469170583E-7</v>
      </c>
      <c r="U157" s="1"/>
      <c r="V157" s="1"/>
      <c r="W157" s="86">
        <v>1.6569078595764101E-7</v>
      </c>
      <c r="AA157" s="38">
        <v>0</v>
      </c>
    </row>
    <row r="158" spans="1:27" s="31" customFormat="1" ht="17" x14ac:dyDescent="0.5">
      <c r="A158" s="5">
        <v>49583</v>
      </c>
      <c r="B158" s="29">
        <v>0</v>
      </c>
      <c r="C158" s="87"/>
      <c r="D158" s="87"/>
      <c r="E158" s="87"/>
      <c r="F158" s="74">
        <v>61739561.214654341</v>
      </c>
      <c r="G158" s="75">
        <v>0</v>
      </c>
      <c r="H158" s="75">
        <v>0</v>
      </c>
      <c r="I158" s="75"/>
      <c r="J158" s="29">
        <v>61739561.214542188</v>
      </c>
      <c r="K158" s="8">
        <v>1.1215358972549438E-4</v>
      </c>
      <c r="L158" s="8">
        <v>0</v>
      </c>
      <c r="M158" s="74">
        <v>0</v>
      </c>
      <c r="N158" s="29">
        <v>0</v>
      </c>
      <c r="O158" s="29">
        <v>3.1600757210981101E-5</v>
      </c>
      <c r="P158" s="29">
        <v>3.1600757210981101E-5</v>
      </c>
      <c r="Q158" s="88">
        <v>8.0552832514513284E-5</v>
      </c>
      <c r="R158" s="88">
        <v>6.267994469170583E-7</v>
      </c>
      <c r="S158" s="78">
        <v>0</v>
      </c>
      <c r="T158" s="88">
        <v>6.267994469170583E-7</v>
      </c>
      <c r="U158" s="1"/>
      <c r="V158" s="1"/>
      <c r="W158" s="86">
        <v>1.6569078595764101E-7</v>
      </c>
      <c r="AA158" s="38">
        <v>0</v>
      </c>
    </row>
    <row r="159" spans="1:27" s="31" customFormat="1" ht="17" x14ac:dyDescent="0.5">
      <c r="A159" s="5">
        <v>49614</v>
      </c>
      <c r="B159" s="29">
        <v>0</v>
      </c>
      <c r="C159" s="87"/>
      <c r="D159" s="87"/>
      <c r="E159" s="87"/>
      <c r="F159" s="74">
        <v>61739561.214654341</v>
      </c>
      <c r="G159" s="75">
        <v>0</v>
      </c>
      <c r="H159" s="75">
        <v>0</v>
      </c>
      <c r="I159" s="75"/>
      <c r="J159" s="29">
        <v>61739561.214542188</v>
      </c>
      <c r="K159" s="8">
        <v>1.1215358972549438E-4</v>
      </c>
      <c r="L159" s="8">
        <v>0</v>
      </c>
      <c r="M159" s="74">
        <v>0</v>
      </c>
      <c r="N159" s="29">
        <v>0</v>
      </c>
      <c r="O159" s="29">
        <v>3.1600757210981101E-5</v>
      </c>
      <c r="P159" s="29">
        <v>3.1600757210981101E-5</v>
      </c>
      <c r="Q159" s="88">
        <v>8.0552832514513284E-5</v>
      </c>
      <c r="R159" s="88">
        <v>6.267994469170583E-7</v>
      </c>
      <c r="S159" s="78">
        <v>0</v>
      </c>
      <c r="T159" s="88">
        <v>6.267994469170583E-7</v>
      </c>
      <c r="U159" s="1"/>
      <c r="V159" s="1"/>
      <c r="W159" s="86">
        <v>1.6569078595764101E-7</v>
      </c>
      <c r="AA159" s="38">
        <v>0</v>
      </c>
    </row>
    <row r="160" spans="1:27" s="31" customFormat="1" ht="17" x14ac:dyDescent="0.5">
      <c r="A160" s="79">
        <v>49644</v>
      </c>
      <c r="B160" s="84">
        <v>0</v>
      </c>
      <c r="C160" s="89"/>
      <c r="D160" s="89"/>
      <c r="E160" s="89"/>
      <c r="F160" s="81">
        <v>61739561.214654341</v>
      </c>
      <c r="G160" s="80">
        <v>0</v>
      </c>
      <c r="H160" s="80">
        <v>0</v>
      </c>
      <c r="I160" s="80"/>
      <c r="J160" s="84">
        <v>61739561.214542188</v>
      </c>
      <c r="K160" s="8">
        <v>1.1215358972549438E-4</v>
      </c>
      <c r="L160" s="82">
        <v>0</v>
      </c>
      <c r="M160" s="81">
        <v>0</v>
      </c>
      <c r="N160" s="84">
        <v>0</v>
      </c>
      <c r="O160" s="84">
        <v>3.1600757210981101E-5</v>
      </c>
      <c r="P160" s="84">
        <v>3.1600757210981101E-5</v>
      </c>
      <c r="Q160" s="85">
        <v>8.0552832514513284E-5</v>
      </c>
      <c r="R160" s="85">
        <v>6.267994469170583E-7</v>
      </c>
      <c r="S160" s="83">
        <v>0</v>
      </c>
      <c r="T160" s="85">
        <v>6.267994469170583E-7</v>
      </c>
      <c r="U160" s="1"/>
      <c r="V160" s="1"/>
      <c r="W160" s="86">
        <v>1.6569078595764101E-7</v>
      </c>
      <c r="AA160" s="38">
        <v>0</v>
      </c>
    </row>
    <row r="161" spans="1:27" s="31" customFormat="1" ht="17" x14ac:dyDescent="0.5">
      <c r="A161" s="5">
        <v>49675</v>
      </c>
      <c r="B161" s="29"/>
      <c r="C161" s="87"/>
      <c r="D161" s="87"/>
      <c r="E161" s="87"/>
      <c r="F161" s="74">
        <v>61739561.214654341</v>
      </c>
      <c r="G161" s="75">
        <v>0</v>
      </c>
      <c r="H161" s="75">
        <v>0</v>
      </c>
      <c r="I161" s="75"/>
      <c r="J161" s="29">
        <v>61739561.214542188</v>
      </c>
      <c r="K161" s="8">
        <v>1.1215358972549438E-4</v>
      </c>
      <c r="L161" s="8">
        <v>0</v>
      </c>
      <c r="M161" s="74">
        <v>0</v>
      </c>
      <c r="N161" s="29">
        <v>0</v>
      </c>
      <c r="O161" s="29">
        <v>3.1600757210981101E-5</v>
      </c>
      <c r="P161" s="29">
        <v>3.1600757210981101E-5</v>
      </c>
      <c r="Q161" s="88">
        <v>8.0552832514513284E-5</v>
      </c>
      <c r="R161" s="88">
        <v>6.267994469170583E-7</v>
      </c>
      <c r="S161" s="78">
        <v>0</v>
      </c>
      <c r="T161" s="88">
        <v>6.267994469170583E-7</v>
      </c>
      <c r="U161" s="1"/>
      <c r="V161" s="1"/>
      <c r="W161" s="86">
        <v>1.6569078595764101E-7</v>
      </c>
      <c r="AA161" s="38">
        <v>0</v>
      </c>
    </row>
    <row r="162" spans="1:27" s="31" customFormat="1" ht="17" x14ac:dyDescent="0.5">
      <c r="A162" s="5">
        <v>49706</v>
      </c>
      <c r="B162" s="29"/>
      <c r="C162" s="87"/>
      <c r="D162" s="87"/>
      <c r="E162" s="87"/>
      <c r="F162" s="74">
        <v>61739561.214654341</v>
      </c>
      <c r="G162" s="75">
        <v>0</v>
      </c>
      <c r="H162" s="75">
        <v>0</v>
      </c>
      <c r="I162" s="75"/>
      <c r="J162" s="29">
        <v>61739561.214542188</v>
      </c>
      <c r="K162" s="8">
        <v>1.1215358972549438E-4</v>
      </c>
      <c r="L162" s="8">
        <v>0</v>
      </c>
      <c r="M162" s="74">
        <v>0</v>
      </c>
      <c r="N162" s="29">
        <v>0</v>
      </c>
      <c r="O162" s="29">
        <v>3.1600757210981101E-5</v>
      </c>
      <c r="P162" s="29">
        <v>3.1600757210981101E-5</v>
      </c>
      <c r="Q162" s="88">
        <v>8.0552832514513284E-5</v>
      </c>
      <c r="R162" s="88">
        <v>6.267994469170583E-7</v>
      </c>
      <c r="S162" s="78">
        <v>0</v>
      </c>
      <c r="T162" s="88">
        <v>6.267994469170583E-7</v>
      </c>
      <c r="U162" s="1"/>
      <c r="V162" s="1"/>
      <c r="W162" s="86">
        <v>1.6569078595764101E-7</v>
      </c>
      <c r="AA162" s="38">
        <v>0</v>
      </c>
    </row>
    <row r="163" spans="1:27" s="31" customFormat="1" ht="17" x14ac:dyDescent="0.5">
      <c r="A163" s="79">
        <v>49735</v>
      </c>
      <c r="B163" s="84"/>
      <c r="C163" s="89"/>
      <c r="D163" s="89"/>
      <c r="E163" s="89"/>
      <c r="F163" s="81">
        <v>61739561.214654341</v>
      </c>
      <c r="G163" s="80">
        <v>0</v>
      </c>
      <c r="H163" s="80">
        <v>0</v>
      </c>
      <c r="I163" s="80"/>
      <c r="J163" s="84">
        <v>61739561.214542188</v>
      </c>
      <c r="K163" s="8">
        <v>1.1215358972549438E-4</v>
      </c>
      <c r="L163" s="82">
        <v>0</v>
      </c>
      <c r="M163" s="81">
        <v>0</v>
      </c>
      <c r="N163" s="84">
        <v>0</v>
      </c>
      <c r="O163" s="84">
        <v>3.1600757210981101E-5</v>
      </c>
      <c r="P163" s="84">
        <v>3.1600757210981101E-5</v>
      </c>
      <c r="Q163" s="85">
        <v>8.0552832514513284E-5</v>
      </c>
      <c r="R163" s="85">
        <v>6.267994469170583E-7</v>
      </c>
      <c r="S163" s="83">
        <v>0</v>
      </c>
      <c r="T163" s="85">
        <v>6.267994469170583E-7</v>
      </c>
      <c r="U163" s="1"/>
      <c r="V163" s="1"/>
      <c r="W163" s="86">
        <v>1.6569078595764101E-7</v>
      </c>
      <c r="AA163" s="38">
        <v>0</v>
      </c>
    </row>
    <row r="164" spans="1:27" s="31" customFormat="1" ht="17" x14ac:dyDescent="0.5">
      <c r="A164" s="5">
        <v>49766</v>
      </c>
      <c r="B164" s="29"/>
      <c r="C164" s="87"/>
      <c r="D164" s="87"/>
      <c r="E164" s="87"/>
      <c r="F164" s="74">
        <v>61739561.214654341</v>
      </c>
      <c r="G164" s="75">
        <v>0</v>
      </c>
      <c r="H164" s="75">
        <v>0</v>
      </c>
      <c r="I164" s="75"/>
      <c r="J164" s="29">
        <v>61739561.214542188</v>
      </c>
      <c r="K164" s="8">
        <v>1.1215358972549438E-4</v>
      </c>
      <c r="L164" s="8">
        <v>0</v>
      </c>
      <c r="M164" s="74">
        <v>0</v>
      </c>
      <c r="N164" s="29">
        <v>0</v>
      </c>
      <c r="O164" s="29">
        <v>3.1600757210981101E-5</v>
      </c>
      <c r="P164" s="29">
        <v>3.1600757210981101E-5</v>
      </c>
      <c r="Q164" s="88">
        <v>8.0552832514513284E-5</v>
      </c>
      <c r="R164" s="88">
        <v>6.267994469170583E-7</v>
      </c>
      <c r="S164" s="78">
        <v>0</v>
      </c>
      <c r="T164" s="88">
        <v>6.267994469170583E-7</v>
      </c>
      <c r="U164" s="1"/>
      <c r="V164" s="1"/>
      <c r="W164" s="86">
        <v>1.6569078595764101E-7</v>
      </c>
      <c r="AA164" s="38">
        <v>0</v>
      </c>
    </row>
    <row r="165" spans="1:27" s="31" customFormat="1" ht="17" x14ac:dyDescent="0.5">
      <c r="A165" s="5">
        <v>49796</v>
      </c>
      <c r="B165" s="29"/>
      <c r="C165" s="87"/>
      <c r="D165" s="87"/>
      <c r="E165" s="87"/>
      <c r="F165" s="74">
        <v>61739561.214654341</v>
      </c>
      <c r="G165" s="75">
        <v>0</v>
      </c>
      <c r="H165" s="75">
        <v>0</v>
      </c>
      <c r="I165" s="75"/>
      <c r="J165" s="29">
        <v>61739561.214542188</v>
      </c>
      <c r="K165" s="8">
        <v>1.1215358972549438E-4</v>
      </c>
      <c r="L165" s="8">
        <v>0</v>
      </c>
      <c r="M165" s="74">
        <v>0</v>
      </c>
      <c r="N165" s="29">
        <v>0</v>
      </c>
      <c r="O165" s="29">
        <v>3.1600757210981101E-5</v>
      </c>
      <c r="P165" s="29">
        <v>3.1600757210981101E-5</v>
      </c>
      <c r="Q165" s="88">
        <v>8.0552832514513284E-5</v>
      </c>
      <c r="R165" s="88">
        <v>6.267994469170583E-7</v>
      </c>
      <c r="S165" s="78">
        <v>0</v>
      </c>
      <c r="T165" s="88">
        <v>6.267994469170583E-7</v>
      </c>
      <c r="U165" s="1"/>
      <c r="V165" s="1"/>
      <c r="W165" s="86">
        <v>1.6569078595764101E-7</v>
      </c>
      <c r="AA165" s="38">
        <v>0</v>
      </c>
    </row>
    <row r="166" spans="1:27" s="31" customFormat="1" ht="17" x14ac:dyDescent="0.5">
      <c r="A166" s="79">
        <v>49827</v>
      </c>
      <c r="B166" s="84"/>
      <c r="C166" s="89"/>
      <c r="D166" s="89"/>
      <c r="E166" s="89"/>
      <c r="F166" s="81">
        <v>61739561.214654341</v>
      </c>
      <c r="G166" s="80">
        <v>0</v>
      </c>
      <c r="H166" s="80">
        <v>0</v>
      </c>
      <c r="I166" s="80"/>
      <c r="J166" s="84">
        <v>61739561.214542188</v>
      </c>
      <c r="K166" s="8">
        <v>1.1215358972549438E-4</v>
      </c>
      <c r="L166" s="82">
        <v>0</v>
      </c>
      <c r="M166" s="81">
        <v>0</v>
      </c>
      <c r="N166" s="84">
        <v>0</v>
      </c>
      <c r="O166" s="84">
        <v>3.1600757210981101E-5</v>
      </c>
      <c r="P166" s="84">
        <v>3.1600757210981101E-5</v>
      </c>
      <c r="Q166" s="85">
        <v>8.0552832514513284E-5</v>
      </c>
      <c r="R166" s="85">
        <v>6.267994469170583E-7</v>
      </c>
      <c r="S166" s="83">
        <v>0</v>
      </c>
      <c r="T166" s="85">
        <v>6.267994469170583E-7</v>
      </c>
      <c r="U166" s="1"/>
      <c r="V166" s="1"/>
      <c r="W166" s="86">
        <v>1.6569078595764101E-7</v>
      </c>
      <c r="AA166" s="38">
        <v>0</v>
      </c>
    </row>
    <row r="167" spans="1:27" s="31" customFormat="1" ht="17" x14ac:dyDescent="0.5">
      <c r="A167" s="5">
        <v>49857</v>
      </c>
      <c r="B167" s="29"/>
      <c r="C167" s="87"/>
      <c r="D167" s="87"/>
      <c r="E167" s="87"/>
      <c r="F167" s="74">
        <v>61739561.214654341</v>
      </c>
      <c r="G167" s="75">
        <v>0</v>
      </c>
      <c r="H167" s="75">
        <v>0</v>
      </c>
      <c r="I167" s="75"/>
      <c r="J167" s="29">
        <v>61739561.214542188</v>
      </c>
      <c r="K167" s="8">
        <v>1.1215358972549438E-4</v>
      </c>
      <c r="L167" s="8">
        <v>0</v>
      </c>
      <c r="M167" s="74">
        <v>0</v>
      </c>
      <c r="N167" s="29">
        <v>0</v>
      </c>
      <c r="O167" s="29">
        <v>3.1600757210981101E-5</v>
      </c>
      <c r="P167" s="29">
        <v>3.1600757210981101E-5</v>
      </c>
      <c r="Q167" s="88">
        <v>8.0552832514513284E-5</v>
      </c>
      <c r="R167" s="88">
        <v>6.267994469170583E-7</v>
      </c>
      <c r="S167" s="78">
        <v>0</v>
      </c>
      <c r="T167" s="88">
        <v>6.267994469170583E-7</v>
      </c>
      <c r="U167" s="1"/>
      <c r="V167" s="1"/>
      <c r="W167" s="86">
        <v>1.6569078595764101E-7</v>
      </c>
      <c r="AA167" s="38">
        <v>0</v>
      </c>
    </row>
    <row r="168" spans="1:27" s="31" customFormat="1" ht="17" x14ac:dyDescent="0.5">
      <c r="A168" s="5">
        <v>49888</v>
      </c>
      <c r="B168" s="29"/>
      <c r="C168" s="87"/>
      <c r="D168" s="87"/>
      <c r="E168" s="87"/>
      <c r="F168" s="74">
        <v>61739561.214654341</v>
      </c>
      <c r="G168" s="75">
        <v>0</v>
      </c>
      <c r="H168" s="75">
        <v>0</v>
      </c>
      <c r="I168" s="75"/>
      <c r="J168" s="29">
        <v>61739561.214542188</v>
      </c>
      <c r="K168" s="8">
        <v>1.1215358972549438E-4</v>
      </c>
      <c r="L168" s="8">
        <v>0</v>
      </c>
      <c r="M168" s="74">
        <v>0</v>
      </c>
      <c r="N168" s="29">
        <v>0</v>
      </c>
      <c r="O168" s="29">
        <v>3.1600757210981101E-5</v>
      </c>
      <c r="P168" s="29">
        <v>3.1600757210981101E-5</v>
      </c>
      <c r="Q168" s="88">
        <v>8.0552832514513284E-5</v>
      </c>
      <c r="R168" s="88">
        <v>6.267994469170583E-7</v>
      </c>
      <c r="S168" s="78">
        <v>0</v>
      </c>
      <c r="T168" s="88">
        <v>6.267994469170583E-7</v>
      </c>
      <c r="U168" s="1"/>
      <c r="V168" s="1"/>
      <c r="W168" s="86">
        <v>1.6569078595764101E-7</v>
      </c>
      <c r="AA168" s="38">
        <v>0</v>
      </c>
    </row>
    <row r="169" spans="1:27" s="31" customFormat="1" ht="17" x14ac:dyDescent="0.5">
      <c r="A169" s="79">
        <v>49919</v>
      </c>
      <c r="B169" s="84"/>
      <c r="C169" s="89"/>
      <c r="D169" s="89"/>
      <c r="E169" s="89"/>
      <c r="F169" s="81">
        <v>61739561.214654341</v>
      </c>
      <c r="G169" s="80">
        <v>0</v>
      </c>
      <c r="H169" s="80">
        <v>0</v>
      </c>
      <c r="I169" s="80"/>
      <c r="J169" s="84">
        <v>61739561.214542188</v>
      </c>
      <c r="K169" s="8">
        <v>1.1215358972549438E-4</v>
      </c>
      <c r="L169" s="82">
        <v>0</v>
      </c>
      <c r="M169" s="81">
        <v>0</v>
      </c>
      <c r="N169" s="84">
        <v>0</v>
      </c>
      <c r="O169" s="84">
        <v>3.1600757210981101E-5</v>
      </c>
      <c r="P169" s="84">
        <v>3.1600757210981101E-5</v>
      </c>
      <c r="Q169" s="85">
        <v>8.0552832514513284E-5</v>
      </c>
      <c r="R169" s="85">
        <v>6.267994469170583E-7</v>
      </c>
      <c r="S169" s="83">
        <v>0</v>
      </c>
      <c r="T169" s="85">
        <v>6.267994469170583E-7</v>
      </c>
      <c r="U169" s="1"/>
      <c r="V169" s="1"/>
      <c r="W169" s="86">
        <v>1.6569078595764101E-7</v>
      </c>
      <c r="AA169" s="38">
        <v>0</v>
      </c>
    </row>
    <row r="170" spans="1:27" s="31" customFormat="1" ht="17" x14ac:dyDescent="0.5">
      <c r="A170" s="5">
        <v>49949</v>
      </c>
      <c r="B170" s="29"/>
      <c r="C170" s="87"/>
      <c r="D170" s="87"/>
      <c r="E170" s="87"/>
      <c r="F170" s="74">
        <v>61739561.214654341</v>
      </c>
      <c r="G170" s="75">
        <v>0</v>
      </c>
      <c r="H170" s="75">
        <v>0</v>
      </c>
      <c r="I170" s="75"/>
      <c r="J170" s="29">
        <v>61739561.214542188</v>
      </c>
      <c r="K170" s="8">
        <v>1.1215358972549438E-4</v>
      </c>
      <c r="L170" s="8">
        <v>0</v>
      </c>
      <c r="M170" s="74">
        <v>0</v>
      </c>
      <c r="N170" s="29">
        <v>0</v>
      </c>
      <c r="O170" s="29">
        <v>3.1600757210981101E-5</v>
      </c>
      <c r="P170" s="29">
        <v>3.1600757210981101E-5</v>
      </c>
      <c r="Q170" s="88">
        <v>8.0552832514513284E-5</v>
      </c>
      <c r="R170" s="88">
        <v>6.267994469170583E-7</v>
      </c>
      <c r="S170" s="78">
        <v>0</v>
      </c>
      <c r="T170" s="88">
        <v>6.267994469170583E-7</v>
      </c>
      <c r="U170" s="1"/>
      <c r="V170" s="1"/>
      <c r="W170" s="86">
        <v>1.6569078595764101E-7</v>
      </c>
      <c r="AA170" s="38">
        <v>0</v>
      </c>
    </row>
    <row r="171" spans="1:27" s="31" customFormat="1" ht="17" x14ac:dyDescent="0.5">
      <c r="A171" s="5">
        <v>49980</v>
      </c>
      <c r="B171" s="29"/>
      <c r="C171" s="87"/>
      <c r="D171" s="87"/>
      <c r="E171" s="87"/>
      <c r="F171" s="74">
        <v>61739561.214654341</v>
      </c>
      <c r="G171" s="75">
        <v>0</v>
      </c>
      <c r="H171" s="75">
        <v>0</v>
      </c>
      <c r="I171" s="75"/>
      <c r="J171" s="29">
        <v>61739561.214542188</v>
      </c>
      <c r="K171" s="8">
        <v>1.1215358972549438E-4</v>
      </c>
      <c r="L171" s="8">
        <v>0</v>
      </c>
      <c r="M171" s="74">
        <v>0</v>
      </c>
      <c r="N171" s="29">
        <v>0</v>
      </c>
      <c r="O171" s="29">
        <v>3.1600757210981101E-5</v>
      </c>
      <c r="P171" s="29">
        <v>3.1600757210981101E-5</v>
      </c>
      <c r="Q171" s="88">
        <v>8.0552832514513284E-5</v>
      </c>
      <c r="R171" s="88">
        <v>6.267994469170583E-7</v>
      </c>
      <c r="S171" s="78">
        <v>0</v>
      </c>
      <c r="T171" s="88">
        <v>6.267994469170583E-7</v>
      </c>
      <c r="U171" s="1"/>
      <c r="V171" s="1"/>
      <c r="W171" s="86">
        <v>1.6569078595764101E-7</v>
      </c>
      <c r="AA171" s="38">
        <v>0</v>
      </c>
    </row>
    <row r="172" spans="1:27" s="31" customFormat="1" ht="17" x14ac:dyDescent="0.5">
      <c r="A172" s="79">
        <v>50010</v>
      </c>
      <c r="B172" s="84"/>
      <c r="C172" s="89"/>
      <c r="D172" s="89"/>
      <c r="E172" s="89"/>
      <c r="F172" s="81">
        <v>61739561.214654341</v>
      </c>
      <c r="G172" s="80">
        <v>0</v>
      </c>
      <c r="H172" s="80">
        <v>0</v>
      </c>
      <c r="I172" s="80"/>
      <c r="J172" s="84">
        <v>61739561.214542188</v>
      </c>
      <c r="K172" s="8">
        <v>1.1215358972549438E-4</v>
      </c>
      <c r="L172" s="82">
        <v>0</v>
      </c>
      <c r="M172" s="81">
        <v>0</v>
      </c>
      <c r="N172" s="84">
        <v>0</v>
      </c>
      <c r="O172" s="84">
        <v>3.1600757210981101E-5</v>
      </c>
      <c r="P172" s="84">
        <v>3.1600757210981101E-5</v>
      </c>
      <c r="Q172" s="85">
        <v>8.0552832514513284E-5</v>
      </c>
      <c r="R172" s="85">
        <v>6.267994469170583E-7</v>
      </c>
      <c r="S172" s="83">
        <v>0</v>
      </c>
      <c r="T172" s="85">
        <v>6.267994469170583E-7</v>
      </c>
      <c r="U172" s="1"/>
      <c r="V172" s="1"/>
      <c r="W172" s="86">
        <v>1.6569078595764101E-7</v>
      </c>
      <c r="AA172" s="38">
        <v>0</v>
      </c>
    </row>
    <row r="173" spans="1:27" s="31" customFormat="1" ht="17" x14ac:dyDescent="0.5">
      <c r="A173" s="5">
        <v>50041</v>
      </c>
      <c r="B173" s="29"/>
      <c r="C173" s="87"/>
      <c r="D173" s="87"/>
      <c r="E173" s="87"/>
      <c r="F173" s="74">
        <v>61739561.214654341</v>
      </c>
      <c r="G173" s="75">
        <v>0</v>
      </c>
      <c r="H173" s="75">
        <v>0</v>
      </c>
      <c r="I173" s="75"/>
      <c r="J173" s="29">
        <v>61739561.214542188</v>
      </c>
      <c r="K173" s="8">
        <v>1.1215358972549438E-4</v>
      </c>
      <c r="L173" s="8">
        <v>0</v>
      </c>
      <c r="M173" s="74">
        <v>0</v>
      </c>
      <c r="N173" s="29">
        <v>0</v>
      </c>
      <c r="O173" s="29">
        <v>3.1600757210981101E-5</v>
      </c>
      <c r="P173" s="29">
        <v>3.1600757210981101E-5</v>
      </c>
      <c r="Q173" s="88">
        <v>8.0552832514513284E-5</v>
      </c>
      <c r="R173" s="88">
        <v>6.267994469170583E-7</v>
      </c>
      <c r="S173" s="78">
        <v>0</v>
      </c>
      <c r="T173" s="88">
        <v>6.267994469170583E-7</v>
      </c>
      <c r="U173" s="1"/>
      <c r="V173" s="1"/>
      <c r="W173" s="86">
        <v>1.6569078595764101E-7</v>
      </c>
      <c r="AA173" s="38">
        <v>0</v>
      </c>
    </row>
    <row r="174" spans="1:27" s="31" customFormat="1" ht="17" x14ac:dyDescent="0.5">
      <c r="A174" s="5">
        <v>50072</v>
      </c>
      <c r="B174" s="29"/>
      <c r="C174" s="87"/>
      <c r="D174" s="87"/>
      <c r="E174" s="87"/>
      <c r="F174" s="74">
        <v>61739561.214654341</v>
      </c>
      <c r="G174" s="75">
        <v>0</v>
      </c>
      <c r="H174" s="75">
        <v>0</v>
      </c>
      <c r="I174" s="75"/>
      <c r="J174" s="29">
        <v>61739561.214542188</v>
      </c>
      <c r="K174" s="8">
        <v>1.1215358972549438E-4</v>
      </c>
      <c r="L174" s="8">
        <v>0</v>
      </c>
      <c r="M174" s="74">
        <v>0</v>
      </c>
      <c r="N174" s="29">
        <v>0</v>
      </c>
      <c r="O174" s="29">
        <v>3.1600757210981101E-5</v>
      </c>
      <c r="P174" s="29">
        <v>3.1600757210981101E-5</v>
      </c>
      <c r="Q174" s="88">
        <v>8.0552832514513284E-5</v>
      </c>
      <c r="R174" s="88">
        <v>6.267994469170583E-7</v>
      </c>
      <c r="S174" s="78">
        <v>0</v>
      </c>
      <c r="T174" s="88">
        <v>6.267994469170583E-7</v>
      </c>
      <c r="U174" s="1"/>
      <c r="V174" s="1"/>
      <c r="W174" s="86">
        <v>1.6569078595764101E-7</v>
      </c>
      <c r="AA174" s="38">
        <v>0</v>
      </c>
    </row>
    <row r="175" spans="1:27" s="31" customFormat="1" ht="17" x14ac:dyDescent="0.5">
      <c r="A175" s="79">
        <v>50100</v>
      </c>
      <c r="B175" s="84"/>
      <c r="C175" s="89"/>
      <c r="D175" s="89"/>
      <c r="E175" s="89"/>
      <c r="F175" s="81">
        <v>61739561.214654341</v>
      </c>
      <c r="G175" s="80">
        <v>0</v>
      </c>
      <c r="H175" s="80">
        <v>0</v>
      </c>
      <c r="I175" s="80"/>
      <c r="J175" s="84">
        <v>61739561.214542188</v>
      </c>
      <c r="K175" s="8">
        <v>1.1215358972549438E-4</v>
      </c>
      <c r="L175" s="82">
        <v>0</v>
      </c>
      <c r="M175" s="81">
        <v>0</v>
      </c>
      <c r="N175" s="84">
        <v>0</v>
      </c>
      <c r="O175" s="84">
        <v>3.1600757210981101E-5</v>
      </c>
      <c r="P175" s="84">
        <v>3.1600757210981101E-5</v>
      </c>
      <c r="Q175" s="85">
        <v>8.0552832514513284E-5</v>
      </c>
      <c r="R175" s="85">
        <v>6.267994469170583E-7</v>
      </c>
      <c r="S175" s="83">
        <v>0</v>
      </c>
      <c r="T175" s="85">
        <v>6.267994469170583E-7</v>
      </c>
      <c r="U175" s="1"/>
      <c r="V175" s="1"/>
      <c r="W175" s="86">
        <v>1.6569078595764101E-7</v>
      </c>
      <c r="AA175" s="38">
        <v>0</v>
      </c>
    </row>
    <row r="176" spans="1:27" s="31" customFormat="1" ht="17" x14ac:dyDescent="0.5">
      <c r="A176" s="5">
        <v>50131</v>
      </c>
      <c r="B176" s="29"/>
      <c r="C176" s="87"/>
      <c r="D176" s="87"/>
      <c r="E176" s="87"/>
      <c r="F176" s="74">
        <v>61739561.214654341</v>
      </c>
      <c r="G176" s="75">
        <v>0</v>
      </c>
      <c r="H176" s="75">
        <v>0</v>
      </c>
      <c r="I176" s="75"/>
      <c r="J176" s="29">
        <v>61739561.214542188</v>
      </c>
      <c r="K176" s="8">
        <v>1.1215358972549438E-4</v>
      </c>
      <c r="L176" s="8">
        <v>0</v>
      </c>
      <c r="M176" s="74">
        <v>0</v>
      </c>
      <c r="N176" s="29">
        <v>0</v>
      </c>
      <c r="O176" s="29">
        <v>3.1600757210981101E-5</v>
      </c>
      <c r="P176" s="29">
        <v>3.1600757210981101E-5</v>
      </c>
      <c r="Q176" s="88">
        <v>8.0552832514513284E-5</v>
      </c>
      <c r="R176" s="88">
        <v>6.267994469170583E-7</v>
      </c>
      <c r="S176" s="78">
        <v>0</v>
      </c>
      <c r="T176" s="88">
        <v>6.267994469170583E-7</v>
      </c>
      <c r="U176" s="1"/>
      <c r="V176" s="1"/>
      <c r="W176" s="86">
        <v>1.6569078595764101E-7</v>
      </c>
      <c r="AA176" s="38">
        <v>0</v>
      </c>
    </row>
    <row r="177" spans="1:27" s="31" customFormat="1" ht="17" x14ac:dyDescent="0.5">
      <c r="A177" s="5">
        <v>50161</v>
      </c>
      <c r="B177" s="29"/>
      <c r="C177" s="87"/>
      <c r="D177" s="87"/>
      <c r="E177" s="87"/>
      <c r="F177" s="74">
        <v>61739561.214654341</v>
      </c>
      <c r="G177" s="75">
        <v>0</v>
      </c>
      <c r="H177" s="75">
        <v>0</v>
      </c>
      <c r="I177" s="75"/>
      <c r="J177" s="29">
        <v>61739561.214542188</v>
      </c>
      <c r="K177" s="8">
        <v>1.1215358972549438E-4</v>
      </c>
      <c r="L177" s="8">
        <v>0</v>
      </c>
      <c r="M177" s="74">
        <v>0</v>
      </c>
      <c r="N177" s="29">
        <v>0</v>
      </c>
      <c r="O177" s="29">
        <v>3.1600757210981101E-5</v>
      </c>
      <c r="P177" s="29">
        <v>3.1600757210981101E-5</v>
      </c>
      <c r="Q177" s="88">
        <v>8.0552832514513284E-5</v>
      </c>
      <c r="R177" s="88">
        <v>6.267994469170583E-7</v>
      </c>
      <c r="S177" s="78">
        <v>0</v>
      </c>
      <c r="T177" s="88">
        <v>6.267994469170583E-7</v>
      </c>
      <c r="U177" s="1"/>
      <c r="V177" s="1"/>
      <c r="W177" s="86">
        <v>1.6569078595764101E-7</v>
      </c>
      <c r="AA177" s="38">
        <v>0</v>
      </c>
    </row>
    <row r="178" spans="1:27" s="31" customFormat="1" ht="17" x14ac:dyDescent="0.5">
      <c r="A178" s="5"/>
      <c r="B178" s="87"/>
      <c r="C178" s="87"/>
      <c r="D178" s="87"/>
      <c r="E178" s="87"/>
      <c r="F178" s="87"/>
      <c r="G178" s="87"/>
      <c r="H178" s="87"/>
      <c r="I178" s="87"/>
      <c r="J178" s="75"/>
      <c r="K178" s="75"/>
      <c r="L178" s="87"/>
      <c r="M178" s="87"/>
      <c r="N178" s="87"/>
      <c r="O178" s="75"/>
      <c r="P178" s="75"/>
      <c r="Q178" s="78"/>
      <c r="R178" s="90"/>
      <c r="S178" s="90"/>
      <c r="T178" s="90"/>
      <c r="U178" s="1"/>
      <c r="V178" s="1"/>
      <c r="W178" s="90"/>
    </row>
    <row r="179" spans="1:27" s="31" customFormat="1" ht="15.5" x14ac:dyDescent="0.35">
      <c r="A179" s="53" t="s">
        <v>149</v>
      </c>
      <c r="B179" s="74">
        <v>10987842.383689744</v>
      </c>
      <c r="C179" s="74">
        <v>41432248.342864789</v>
      </c>
      <c r="D179" s="74">
        <v>52420090.726554535</v>
      </c>
      <c r="E179" s="74">
        <v>9319470.488099806</v>
      </c>
      <c r="F179" s="74"/>
      <c r="G179" s="74">
        <v>10987842.383689733</v>
      </c>
      <c r="H179" s="74">
        <v>41432248.342864819</v>
      </c>
      <c r="I179" s="74"/>
      <c r="J179" s="12"/>
      <c r="K179" s="74"/>
      <c r="L179" s="74">
        <v>61739561.214654341</v>
      </c>
      <c r="M179" s="74">
        <v>61739561.214541726</v>
      </c>
      <c r="N179" s="74">
        <v>3.1600757210981101E-5</v>
      </c>
      <c r="O179" s="74"/>
      <c r="P179" s="74"/>
      <c r="Q179" s="74"/>
      <c r="R179" s="74">
        <v>17734139.633407272</v>
      </c>
      <c r="S179" s="74">
        <v>7551022.7900625868</v>
      </c>
      <c r="T179" s="74">
        <v>87024723.638011709</v>
      </c>
      <c r="U179" s="1"/>
      <c r="V179" s="1"/>
      <c r="W179" s="74">
        <v>4687916.6033001151</v>
      </c>
    </row>
    <row r="180" spans="1:27" s="31" customFormat="1" ht="15.5" x14ac:dyDescent="0.35">
      <c r="A180"/>
      <c r="B180"/>
      <c r="C180"/>
      <c r="D180"/>
      <c r="E180"/>
      <c r="F180"/>
      <c r="G180"/>
      <c r="H180"/>
      <c r="I180"/>
      <c r="J180"/>
      <c r="K180" s="2"/>
      <c r="L180" s="8"/>
      <c r="M180"/>
      <c r="N180"/>
      <c r="O180"/>
      <c r="P180" s="1"/>
      <c r="Q180" s="1"/>
      <c r="R180" s="1"/>
      <c r="S180" s="1"/>
      <c r="T180" s="1"/>
      <c r="U180" s="1"/>
      <c r="V180" s="2"/>
      <c r="W180" s="2"/>
    </row>
    <row r="181" spans="1:27" s="31" customFormat="1" ht="15.5" x14ac:dyDescent="0.35">
      <c r="A181"/>
      <c r="B181"/>
      <c r="C181"/>
      <c r="D181"/>
      <c r="E181"/>
      <c r="F181"/>
      <c r="G181"/>
      <c r="H181"/>
      <c r="I181"/>
      <c r="J181"/>
      <c r="K181" s="2"/>
      <c r="L181" s="8"/>
      <c r="M181"/>
      <c r="N181"/>
      <c r="O181"/>
      <c r="P181" s="1"/>
      <c r="Q181" s="1"/>
      <c r="R181" s="1"/>
      <c r="S181" s="1"/>
      <c r="T181" s="1"/>
      <c r="U181" s="1"/>
      <c r="V181" s="2"/>
      <c r="W181" s="2"/>
    </row>
    <row r="182" spans="1:27" s="31" customFormat="1" ht="15.5" x14ac:dyDescent="0.35">
      <c r="A182"/>
      <c r="B182"/>
      <c r="C182"/>
      <c r="D182">
        <v>2024</v>
      </c>
      <c r="E182" s="8">
        <f>SUM(E23:E28)</f>
        <v>9319470.488099806</v>
      </c>
      <c r="F182" s="91"/>
      <c r="G182" s="8">
        <f>E182-F182</f>
        <v>9319470.488099806</v>
      </c>
      <c r="H182"/>
      <c r="I182"/>
      <c r="J182"/>
      <c r="K182" s="2"/>
      <c r="L182" s="8"/>
      <c r="M182"/>
      <c r="N182"/>
      <c r="O182"/>
      <c r="P182" s="1"/>
      <c r="Q182" s="1"/>
      <c r="R182" s="1"/>
      <c r="S182" s="1"/>
      <c r="T182" s="1"/>
      <c r="U182" s="1"/>
      <c r="V182" s="2"/>
      <c r="W182" s="2"/>
    </row>
    <row r="183" spans="1:27" s="31" customFormat="1" ht="15.5" x14ac:dyDescent="0.35">
      <c r="A183"/>
      <c r="B183"/>
      <c r="C183"/>
      <c r="D183"/>
      <c r="E183" s="8"/>
      <c r="F183" s="91"/>
      <c r="G183" s="8"/>
      <c r="H183"/>
      <c r="I183"/>
      <c r="J183"/>
      <c r="K183" s="2"/>
      <c r="L183" s="8"/>
      <c r="M183"/>
      <c r="N183"/>
      <c r="O183"/>
      <c r="P183" s="1"/>
      <c r="Q183" s="1"/>
      <c r="R183" s="1"/>
      <c r="S183" s="77"/>
      <c r="T183" s="1"/>
      <c r="U183" s="1"/>
      <c r="V183" s="2"/>
      <c r="W183" s="2"/>
    </row>
    <row r="184" spans="1:27" s="31" customFormat="1" ht="15.5" x14ac:dyDescent="0.35">
      <c r="A184"/>
      <c r="B184"/>
      <c r="C184"/>
      <c r="D184"/>
      <c r="E184" s="12"/>
      <c r="F184" s="91"/>
      <c r="G184" s="8"/>
      <c r="H184"/>
      <c r="I184"/>
      <c r="J184"/>
      <c r="K184" s="2"/>
      <c r="L184" s="8"/>
      <c r="M184"/>
      <c r="N184"/>
      <c r="O184"/>
      <c r="P184" s="1"/>
      <c r="Q184" s="1"/>
      <c r="R184" s="1"/>
      <c r="S184" s="1"/>
      <c r="T184" s="1"/>
      <c r="U184" s="1"/>
      <c r="V184" s="2"/>
      <c r="W184" s="2"/>
    </row>
    <row r="185" spans="1:27" s="31" customFormat="1" ht="15.5" x14ac:dyDescent="0.35">
      <c r="A185"/>
      <c r="B185"/>
      <c r="C185"/>
      <c r="D185"/>
      <c r="E185" s="12"/>
      <c r="F185" s="91"/>
      <c r="G185" s="8"/>
      <c r="H185"/>
      <c r="I185"/>
      <c r="J185"/>
      <c r="K185" s="2"/>
      <c r="L185" s="8"/>
      <c r="M185"/>
      <c r="N185"/>
      <c r="O185"/>
      <c r="P185" s="1"/>
      <c r="Q185" s="1"/>
      <c r="R185" s="1"/>
      <c r="S185" s="1"/>
      <c r="T185" s="1"/>
      <c r="U185" s="1"/>
      <c r="V185" s="2"/>
      <c r="W185" s="2"/>
    </row>
    <row r="186" spans="1:27" s="31" customFormat="1" ht="15.5" x14ac:dyDescent="0.35">
      <c r="A186"/>
      <c r="B186"/>
      <c r="C186"/>
      <c r="D186"/>
      <c r="E186" s="12"/>
      <c r="F186" s="91"/>
      <c r="G186" s="8"/>
      <c r="H186"/>
      <c r="I186"/>
      <c r="J186"/>
      <c r="K186" s="2"/>
      <c r="L186" s="8"/>
      <c r="M186"/>
      <c r="N186"/>
      <c r="O186"/>
      <c r="P186" s="1"/>
      <c r="Q186" s="1"/>
      <c r="R186" s="1"/>
      <c r="S186" s="1"/>
      <c r="T186" s="1"/>
      <c r="U186" s="1"/>
      <c r="V186" s="2"/>
      <c r="W186" s="2"/>
    </row>
    <row r="187" spans="1:27" s="31" customFormat="1" ht="15.5" x14ac:dyDescent="0.35">
      <c r="D187"/>
      <c r="E187" s="36"/>
      <c r="F187" s="92"/>
      <c r="G187" s="8"/>
      <c r="K187" s="20"/>
      <c r="L187" s="38"/>
      <c r="P187" s="37"/>
      <c r="Q187" s="37"/>
      <c r="R187" s="37"/>
      <c r="S187" s="37"/>
      <c r="T187" s="37"/>
      <c r="U187" s="37"/>
      <c r="V187" s="20"/>
      <c r="W187" s="20"/>
    </row>
    <row r="188" spans="1:27" s="31" customFormat="1" ht="15.5" x14ac:dyDescent="0.35">
      <c r="D188"/>
      <c r="E188" s="36"/>
      <c r="F188" s="92"/>
      <c r="G188" s="8"/>
      <c r="K188" s="20"/>
      <c r="L188" s="38"/>
      <c r="P188" s="37"/>
      <c r="Q188" s="37"/>
      <c r="R188" s="37"/>
      <c r="S188" s="37"/>
      <c r="T188" s="37"/>
      <c r="U188" s="37"/>
      <c r="V188" s="20"/>
      <c r="W188" s="20"/>
    </row>
    <row r="189" spans="1:27" s="31" customFormat="1" ht="15.5" x14ac:dyDescent="0.35">
      <c r="D189"/>
      <c r="E189" s="36"/>
      <c r="F189" s="92"/>
      <c r="G189" s="8"/>
      <c r="K189" s="20"/>
      <c r="L189" s="38"/>
      <c r="P189" s="37"/>
      <c r="Q189" s="37"/>
      <c r="R189" s="37"/>
      <c r="S189" s="37"/>
      <c r="T189" s="37"/>
      <c r="U189" s="37"/>
      <c r="V189" s="20"/>
      <c r="W189" s="20"/>
    </row>
    <row r="190" spans="1:27" s="31" customFormat="1" ht="15.5" x14ac:dyDescent="0.35">
      <c r="D190"/>
      <c r="E190" s="36"/>
      <c r="F190" s="92"/>
      <c r="G190" s="8"/>
      <c r="K190" s="20"/>
      <c r="L190" s="38"/>
      <c r="P190" s="37"/>
      <c r="Q190" s="37"/>
      <c r="R190" s="37"/>
      <c r="S190" s="37"/>
      <c r="T190" s="37"/>
      <c r="U190" s="37"/>
      <c r="V190" s="20"/>
      <c r="W190" s="20"/>
    </row>
    <row r="191" spans="1:27" s="31" customFormat="1" ht="15.5" x14ac:dyDescent="0.35">
      <c r="K191" s="20"/>
      <c r="L191" s="38"/>
      <c r="P191" s="37"/>
      <c r="Q191" s="37"/>
      <c r="R191" s="37"/>
      <c r="S191" s="37"/>
      <c r="T191" s="37"/>
      <c r="U191" s="37"/>
      <c r="V191" s="20"/>
      <c r="W191" s="20"/>
    </row>
    <row r="192" spans="1:27" s="31" customFormat="1" ht="15.5" x14ac:dyDescent="0.35">
      <c r="K192" s="20"/>
      <c r="L192" s="38"/>
      <c r="P192" s="37"/>
      <c r="Q192" s="37"/>
      <c r="R192" s="37"/>
      <c r="S192" s="37"/>
      <c r="T192" s="37"/>
      <c r="U192" s="37"/>
      <c r="V192" s="20"/>
      <c r="W192" s="20"/>
    </row>
    <row r="193" spans="11:23" s="31" customFormat="1" ht="15.5" x14ac:dyDescent="0.35">
      <c r="K193" s="20"/>
      <c r="L193" s="38"/>
      <c r="P193" s="37"/>
      <c r="Q193" s="37"/>
      <c r="R193" s="37"/>
      <c r="S193" s="37"/>
      <c r="T193" s="37"/>
      <c r="U193" s="37"/>
      <c r="V193" s="20"/>
      <c r="W193" s="20"/>
    </row>
    <row r="194" spans="11:23" s="31" customFormat="1" ht="15.5" x14ac:dyDescent="0.35">
      <c r="K194" s="20"/>
      <c r="L194" s="38"/>
      <c r="P194" s="37"/>
      <c r="Q194" s="37"/>
      <c r="R194" s="37"/>
      <c r="S194" s="37"/>
      <c r="T194" s="37"/>
      <c r="U194" s="37"/>
      <c r="V194" s="20"/>
      <c r="W194" s="20"/>
    </row>
    <row r="195" spans="11:23" s="31" customFormat="1" ht="15.5" x14ac:dyDescent="0.35">
      <c r="K195" s="20"/>
      <c r="L195" s="38"/>
      <c r="P195" s="37"/>
      <c r="Q195" s="37"/>
      <c r="R195" s="37"/>
      <c r="S195" s="37"/>
      <c r="T195" s="37"/>
      <c r="U195" s="37"/>
      <c r="V195" s="20"/>
      <c r="W195" s="20"/>
    </row>
    <row r="196" spans="11:23" s="31" customFormat="1" ht="15.5" x14ac:dyDescent="0.35">
      <c r="K196" s="20"/>
      <c r="L196" s="38"/>
      <c r="P196" s="37"/>
      <c r="Q196" s="37"/>
      <c r="R196" s="37"/>
      <c r="S196" s="37"/>
      <c r="T196" s="37"/>
      <c r="U196" s="37"/>
      <c r="V196" s="20"/>
      <c r="W196" s="20"/>
    </row>
    <row r="197" spans="11:23" s="31" customFormat="1" ht="15.5" x14ac:dyDescent="0.35">
      <c r="K197" s="20"/>
      <c r="L197" s="38"/>
      <c r="P197" s="37"/>
      <c r="Q197" s="37"/>
      <c r="R197" s="37"/>
      <c r="S197" s="37"/>
      <c r="T197" s="37"/>
      <c r="U197" s="37"/>
      <c r="V197" s="20"/>
      <c r="W197" s="20"/>
    </row>
    <row r="198" spans="11:23" s="31" customFormat="1" ht="15.5" x14ac:dyDescent="0.35">
      <c r="K198" s="20"/>
      <c r="L198" s="38"/>
      <c r="P198" s="37"/>
      <c r="Q198" s="37"/>
      <c r="R198" s="37"/>
      <c r="S198" s="37"/>
      <c r="T198" s="37"/>
      <c r="U198" s="37"/>
      <c r="V198" s="20"/>
      <c r="W198" s="20"/>
    </row>
    <row r="199" spans="11:23" s="31" customFormat="1" ht="15.5" x14ac:dyDescent="0.35">
      <c r="K199" s="20"/>
      <c r="L199" s="38"/>
      <c r="P199" s="37"/>
      <c r="Q199" s="37"/>
      <c r="R199" s="37"/>
      <c r="S199" s="37"/>
      <c r="T199" s="37"/>
      <c r="U199" s="37"/>
      <c r="V199" s="20"/>
      <c r="W199" s="20"/>
    </row>
    <row r="200" spans="11:23" s="31" customFormat="1" ht="15.5" x14ac:dyDescent="0.35">
      <c r="K200" s="20"/>
      <c r="L200" s="38"/>
      <c r="P200" s="37"/>
      <c r="Q200" s="37"/>
      <c r="R200" s="37"/>
      <c r="S200" s="37"/>
      <c r="T200" s="37"/>
      <c r="U200" s="37"/>
      <c r="V200" s="20"/>
      <c r="W200" s="20"/>
    </row>
    <row r="201" spans="11:23" s="31" customFormat="1" ht="15.5" x14ac:dyDescent="0.35">
      <c r="K201" s="20"/>
      <c r="L201" s="38"/>
      <c r="P201" s="37"/>
      <c r="Q201" s="37"/>
      <c r="R201" s="37"/>
      <c r="S201" s="37"/>
      <c r="T201" s="37"/>
      <c r="U201" s="37"/>
      <c r="V201" s="20"/>
      <c r="W201" s="20"/>
    </row>
    <row r="202" spans="11:23" s="31" customFormat="1" ht="15.5" x14ac:dyDescent="0.35">
      <c r="K202" s="20"/>
      <c r="L202" s="38"/>
      <c r="P202" s="37"/>
      <c r="Q202" s="37"/>
      <c r="R202" s="37"/>
      <c r="S202" s="37"/>
      <c r="T202" s="37"/>
      <c r="U202" s="37"/>
      <c r="V202" s="20"/>
      <c r="W202" s="20"/>
    </row>
    <row r="203" spans="11:23" s="31" customFormat="1" ht="15.5" x14ac:dyDescent="0.35">
      <c r="K203" s="20"/>
      <c r="L203" s="38"/>
      <c r="P203" s="37"/>
      <c r="Q203" s="37"/>
      <c r="R203" s="37"/>
      <c r="S203" s="37"/>
      <c r="T203" s="37"/>
      <c r="U203" s="37"/>
      <c r="V203" s="20"/>
      <c r="W203" s="20"/>
    </row>
    <row r="204" spans="11:23" s="31" customFormat="1" ht="15.5" x14ac:dyDescent="0.35">
      <c r="K204" s="20"/>
      <c r="L204" s="38"/>
      <c r="P204" s="37"/>
      <c r="Q204" s="37"/>
      <c r="R204" s="37"/>
      <c r="S204" s="37"/>
      <c r="T204" s="37"/>
      <c r="U204" s="37"/>
      <c r="V204" s="20"/>
      <c r="W204" s="20"/>
    </row>
    <row r="205" spans="11:23" s="31" customFormat="1" ht="15.5" x14ac:dyDescent="0.35">
      <c r="K205" s="20"/>
      <c r="L205" s="38"/>
      <c r="P205" s="37"/>
      <c r="Q205" s="37"/>
      <c r="R205" s="37"/>
      <c r="S205" s="37"/>
      <c r="T205" s="37"/>
      <c r="U205" s="37"/>
      <c r="V205" s="20"/>
      <c r="W205" s="20"/>
    </row>
    <row r="206" spans="11:23" s="31" customFormat="1" ht="15.5" x14ac:dyDescent="0.35">
      <c r="K206" s="20"/>
      <c r="L206" s="38"/>
      <c r="P206" s="37"/>
      <c r="Q206" s="37"/>
      <c r="R206" s="37"/>
      <c r="S206" s="37"/>
      <c r="T206" s="37"/>
      <c r="U206" s="37"/>
      <c r="V206" s="20"/>
      <c r="W206" s="20"/>
    </row>
    <row r="207" spans="11:23" s="31" customFormat="1" ht="15.5" x14ac:dyDescent="0.35">
      <c r="K207" s="20"/>
      <c r="L207" s="38"/>
      <c r="P207" s="37"/>
      <c r="Q207" s="37"/>
      <c r="R207" s="37"/>
      <c r="S207" s="37"/>
      <c r="T207" s="37"/>
      <c r="U207" s="37"/>
      <c r="V207" s="20"/>
      <c r="W207" s="20"/>
    </row>
    <row r="208" spans="11:23" s="31" customFormat="1" ht="15.5" x14ac:dyDescent="0.35">
      <c r="K208" s="20"/>
      <c r="L208" s="38"/>
      <c r="P208" s="37"/>
      <c r="Q208" s="37"/>
      <c r="R208" s="37"/>
      <c r="S208" s="37"/>
      <c r="T208" s="37"/>
      <c r="U208" s="37"/>
      <c r="V208" s="20"/>
      <c r="W208" s="20"/>
    </row>
    <row r="209" spans="11:23" s="31" customFormat="1" ht="15.5" x14ac:dyDescent="0.35">
      <c r="K209" s="20"/>
      <c r="L209" s="38"/>
      <c r="P209" s="37"/>
      <c r="Q209" s="37"/>
      <c r="R209" s="37"/>
      <c r="S209" s="37"/>
      <c r="T209" s="37"/>
      <c r="U209" s="37"/>
      <c r="V209" s="20"/>
      <c r="W209" s="20"/>
    </row>
    <row r="210" spans="11:23" s="31" customFormat="1" ht="15.5" x14ac:dyDescent="0.35">
      <c r="K210" s="20"/>
      <c r="L210" s="38"/>
      <c r="P210" s="37"/>
      <c r="Q210" s="37"/>
      <c r="R210" s="37"/>
      <c r="S210" s="37"/>
      <c r="T210" s="37"/>
      <c r="U210" s="37"/>
      <c r="V210" s="20"/>
      <c r="W210" s="20"/>
    </row>
    <row r="211" spans="11:23" s="31" customFormat="1" ht="15.5" x14ac:dyDescent="0.35">
      <c r="K211" s="20"/>
      <c r="L211" s="38"/>
      <c r="P211" s="37"/>
      <c r="Q211" s="37"/>
      <c r="R211" s="37"/>
      <c r="S211" s="37"/>
      <c r="T211" s="37"/>
      <c r="U211" s="37"/>
      <c r="V211" s="20"/>
      <c r="W211" s="20"/>
    </row>
    <row r="212" spans="11:23" s="31" customFormat="1" ht="15.5" x14ac:dyDescent="0.35">
      <c r="K212" s="20"/>
      <c r="L212" s="38"/>
      <c r="P212" s="37"/>
      <c r="Q212" s="37"/>
      <c r="R212" s="37"/>
      <c r="S212" s="37"/>
      <c r="T212" s="37"/>
      <c r="U212" s="37"/>
      <c r="V212" s="20"/>
      <c r="W212" s="20"/>
    </row>
    <row r="213" spans="11:23" s="31" customFormat="1" ht="15.5" x14ac:dyDescent="0.35">
      <c r="K213" s="20"/>
      <c r="L213" s="38"/>
      <c r="P213" s="37"/>
      <c r="Q213" s="37"/>
      <c r="R213" s="37"/>
      <c r="S213" s="37"/>
      <c r="T213" s="37"/>
      <c r="U213" s="37"/>
      <c r="V213" s="20"/>
      <c r="W213" s="20"/>
    </row>
    <row r="214" spans="11:23" s="31" customFormat="1" ht="15.5" x14ac:dyDescent="0.35">
      <c r="K214" s="20"/>
      <c r="L214" s="38"/>
      <c r="P214" s="37"/>
      <c r="Q214" s="37"/>
      <c r="R214" s="37"/>
      <c r="S214" s="37"/>
      <c r="T214" s="37"/>
      <c r="U214" s="37"/>
      <c r="V214" s="20"/>
      <c r="W214" s="20"/>
    </row>
    <row r="215" spans="11:23" s="31" customFormat="1" ht="15.5" x14ac:dyDescent="0.35">
      <c r="K215" s="20"/>
      <c r="L215" s="38"/>
      <c r="P215" s="37"/>
      <c r="Q215" s="37"/>
      <c r="R215" s="37"/>
      <c r="S215" s="37"/>
      <c r="T215" s="37"/>
      <c r="U215" s="37"/>
      <c r="V215" s="20"/>
      <c r="W215" s="20"/>
    </row>
    <row r="216" spans="11:23" s="31" customFormat="1" ht="15.5" x14ac:dyDescent="0.35">
      <c r="K216" s="20"/>
      <c r="L216" s="38"/>
      <c r="P216" s="37"/>
      <c r="Q216" s="37"/>
      <c r="R216" s="37"/>
      <c r="S216" s="37"/>
      <c r="T216" s="37"/>
      <c r="U216" s="37"/>
      <c r="V216" s="20"/>
      <c r="W216" s="20"/>
    </row>
    <row r="217" spans="11:23" s="31" customFormat="1" ht="15.5" x14ac:dyDescent="0.35">
      <c r="K217" s="20"/>
      <c r="L217" s="38"/>
      <c r="P217" s="37"/>
      <c r="Q217" s="37"/>
      <c r="R217" s="37"/>
      <c r="S217" s="37"/>
      <c r="T217" s="37"/>
      <c r="U217" s="37"/>
      <c r="V217" s="20"/>
      <c r="W217" s="20"/>
    </row>
    <row r="218" spans="11:23" s="31" customFormat="1" ht="15.5" x14ac:dyDescent="0.35">
      <c r="K218" s="20"/>
      <c r="L218" s="38"/>
      <c r="P218" s="37"/>
      <c r="Q218" s="37"/>
      <c r="R218" s="37"/>
      <c r="S218" s="37"/>
      <c r="T218" s="37"/>
      <c r="U218" s="37"/>
      <c r="V218" s="20"/>
      <c r="W218" s="20"/>
    </row>
    <row r="219" spans="11:23" s="31" customFormat="1" ht="15.5" x14ac:dyDescent="0.35">
      <c r="K219" s="20"/>
      <c r="L219" s="38"/>
      <c r="P219" s="37"/>
      <c r="Q219" s="37"/>
      <c r="R219" s="37"/>
      <c r="S219" s="37"/>
      <c r="T219" s="37"/>
      <c r="U219" s="37"/>
      <c r="V219" s="20"/>
      <c r="W219" s="20"/>
    </row>
    <row r="220" spans="11:23" s="31" customFormat="1" ht="15.5" x14ac:dyDescent="0.35">
      <c r="K220" s="20"/>
      <c r="L220" s="38"/>
      <c r="P220" s="37"/>
      <c r="Q220" s="37"/>
      <c r="R220" s="37"/>
      <c r="S220" s="37"/>
      <c r="T220" s="37"/>
      <c r="U220" s="37"/>
      <c r="V220" s="20"/>
      <c r="W220" s="20"/>
    </row>
    <row r="221" spans="11:23" s="31" customFormat="1" ht="15.5" x14ac:dyDescent="0.35">
      <c r="K221" s="20"/>
      <c r="L221" s="38"/>
      <c r="P221" s="37"/>
      <c r="Q221" s="37"/>
      <c r="R221" s="37"/>
      <c r="S221" s="37"/>
      <c r="T221" s="37"/>
      <c r="U221" s="37"/>
      <c r="V221" s="20"/>
      <c r="W221" s="20"/>
    </row>
    <row r="222" spans="11:23" s="31" customFormat="1" ht="15.5" x14ac:dyDescent="0.35">
      <c r="K222" s="20"/>
      <c r="L222" s="38"/>
      <c r="P222" s="37"/>
      <c r="Q222" s="37"/>
      <c r="R222" s="37"/>
      <c r="S222" s="37"/>
      <c r="T222" s="37"/>
      <c r="U222" s="37"/>
      <c r="V222" s="20"/>
      <c r="W222" s="20"/>
    </row>
    <row r="223" spans="11:23" s="31" customFormat="1" ht="15.5" x14ac:dyDescent="0.35">
      <c r="K223" s="20"/>
      <c r="L223" s="38"/>
      <c r="P223" s="37"/>
      <c r="Q223" s="37"/>
      <c r="R223" s="37"/>
      <c r="S223" s="37"/>
      <c r="T223" s="37"/>
      <c r="U223" s="37"/>
      <c r="V223" s="20"/>
      <c r="W223" s="20"/>
    </row>
    <row r="224" spans="11:23" s="31" customFormat="1" ht="15.5" x14ac:dyDescent="0.35">
      <c r="K224" s="20"/>
      <c r="L224" s="38"/>
      <c r="P224" s="37"/>
      <c r="Q224" s="37"/>
      <c r="R224" s="37"/>
      <c r="S224" s="37"/>
      <c r="T224" s="37"/>
      <c r="U224" s="37"/>
      <c r="V224" s="20"/>
      <c r="W224" s="20"/>
    </row>
    <row r="225" spans="11:23" s="31" customFormat="1" ht="15.5" x14ac:dyDescent="0.35">
      <c r="K225" s="20"/>
      <c r="L225" s="38"/>
      <c r="P225" s="37"/>
      <c r="Q225" s="37"/>
      <c r="R225" s="37"/>
      <c r="S225" s="37"/>
      <c r="T225" s="37"/>
      <c r="U225" s="37"/>
      <c r="V225" s="20"/>
      <c r="W225" s="20"/>
    </row>
    <row r="226" spans="11:23" s="31" customFormat="1" ht="15.5" x14ac:dyDescent="0.35">
      <c r="K226" s="20"/>
      <c r="L226" s="38"/>
      <c r="P226" s="37"/>
      <c r="Q226" s="37"/>
      <c r="R226" s="37"/>
      <c r="S226" s="37"/>
      <c r="T226" s="37"/>
      <c r="U226" s="37"/>
      <c r="V226" s="20"/>
      <c r="W226" s="20"/>
    </row>
    <row r="227" spans="11:23" s="31" customFormat="1" ht="15.5" x14ac:dyDescent="0.35">
      <c r="K227" s="20"/>
      <c r="L227" s="38"/>
      <c r="P227" s="37"/>
      <c r="Q227" s="37"/>
      <c r="R227" s="37"/>
      <c r="S227" s="37"/>
      <c r="T227" s="37"/>
      <c r="U227" s="37"/>
      <c r="V227" s="20"/>
      <c r="W227" s="20"/>
    </row>
    <row r="228" spans="11:23" s="31" customFormat="1" ht="15.5" x14ac:dyDescent="0.35">
      <c r="K228" s="20"/>
      <c r="L228" s="38"/>
      <c r="P228" s="37"/>
      <c r="Q228" s="37"/>
      <c r="R228" s="37"/>
      <c r="S228" s="37"/>
      <c r="T228" s="37"/>
      <c r="U228" s="37"/>
      <c r="V228" s="20"/>
      <c r="W228" s="20"/>
    </row>
    <row r="229" spans="11:23" s="31" customFormat="1" ht="15.5" x14ac:dyDescent="0.35">
      <c r="K229" s="20"/>
      <c r="L229" s="38"/>
      <c r="P229" s="37"/>
      <c r="Q229" s="37"/>
      <c r="R229" s="37"/>
      <c r="S229" s="37"/>
      <c r="T229" s="37"/>
      <c r="U229" s="37"/>
      <c r="V229" s="20"/>
      <c r="W229" s="20"/>
    </row>
    <row r="230" spans="11:23" s="31" customFormat="1" ht="15.5" x14ac:dyDescent="0.35">
      <c r="K230" s="20"/>
      <c r="L230" s="38"/>
      <c r="P230" s="37"/>
      <c r="Q230" s="37"/>
      <c r="R230" s="37"/>
      <c r="S230" s="37"/>
      <c r="T230" s="37"/>
      <c r="U230" s="37"/>
      <c r="V230" s="20"/>
      <c r="W230" s="20"/>
    </row>
    <row r="231" spans="11:23" s="31" customFormat="1" ht="15.5" x14ac:dyDescent="0.35">
      <c r="K231" s="20"/>
      <c r="L231" s="38"/>
      <c r="P231" s="37"/>
      <c r="Q231" s="37"/>
      <c r="R231" s="37"/>
      <c r="S231" s="37"/>
      <c r="T231" s="37"/>
      <c r="U231" s="37"/>
      <c r="V231" s="20"/>
      <c r="W231" s="20"/>
    </row>
    <row r="232" spans="11:23" s="31" customFormat="1" ht="15.5" x14ac:dyDescent="0.35">
      <c r="K232" s="20"/>
      <c r="L232" s="38"/>
      <c r="P232" s="37"/>
      <c r="Q232" s="37"/>
      <c r="R232" s="37"/>
      <c r="S232" s="37"/>
      <c r="T232" s="37"/>
      <c r="U232" s="37"/>
      <c r="V232" s="20"/>
      <c r="W232" s="20"/>
    </row>
    <row r="233" spans="11:23" s="31" customFormat="1" ht="15.5" x14ac:dyDescent="0.35">
      <c r="K233" s="20"/>
      <c r="L233" s="38"/>
      <c r="P233" s="37"/>
      <c r="Q233" s="37"/>
      <c r="R233" s="37"/>
      <c r="S233" s="37"/>
      <c r="T233" s="37"/>
      <c r="U233" s="37"/>
      <c r="V233" s="20"/>
      <c r="W233" s="20"/>
    </row>
    <row r="234" spans="11:23" s="31" customFormat="1" ht="15.5" x14ac:dyDescent="0.35">
      <c r="K234" s="20"/>
      <c r="L234" s="38"/>
      <c r="P234" s="37"/>
      <c r="Q234" s="37"/>
      <c r="R234" s="37"/>
      <c r="S234" s="37"/>
      <c r="T234" s="37"/>
      <c r="U234" s="37"/>
      <c r="V234" s="20"/>
      <c r="W234" s="20"/>
    </row>
    <row r="235" spans="11:23" s="31" customFormat="1" ht="15.5" x14ac:dyDescent="0.35">
      <c r="K235" s="20"/>
      <c r="L235" s="38"/>
      <c r="P235" s="37"/>
      <c r="Q235" s="37"/>
      <c r="R235" s="37"/>
      <c r="S235" s="37"/>
      <c r="T235" s="37"/>
      <c r="U235" s="37"/>
      <c r="V235" s="20"/>
      <c r="W235" s="20"/>
    </row>
    <row r="236" spans="11:23" s="31" customFormat="1" ht="15.5" x14ac:dyDescent="0.35">
      <c r="K236" s="20"/>
      <c r="L236" s="38"/>
      <c r="P236" s="37"/>
      <c r="Q236" s="37"/>
      <c r="R236" s="37"/>
      <c r="S236" s="37"/>
      <c r="T236" s="37"/>
      <c r="U236" s="37"/>
      <c r="V236" s="20"/>
      <c r="W236" s="20"/>
    </row>
    <row r="237" spans="11:23" s="31" customFormat="1" ht="15.5" x14ac:dyDescent="0.35">
      <c r="K237" s="20"/>
      <c r="L237" s="38"/>
      <c r="P237" s="37"/>
      <c r="Q237" s="37"/>
      <c r="R237" s="37"/>
      <c r="S237" s="37"/>
      <c r="T237" s="37"/>
      <c r="U237" s="37"/>
      <c r="V237" s="20"/>
      <c r="W237" s="20"/>
    </row>
    <row r="238" spans="11:23" s="31" customFormat="1" ht="15.5" x14ac:dyDescent="0.35">
      <c r="K238" s="20"/>
      <c r="L238" s="38"/>
      <c r="P238" s="37"/>
      <c r="Q238" s="37"/>
      <c r="R238" s="37"/>
      <c r="S238" s="37"/>
      <c r="T238" s="37"/>
      <c r="U238" s="37"/>
      <c r="V238" s="20"/>
      <c r="W238" s="20"/>
    </row>
    <row r="239" spans="11:23" s="31" customFormat="1" ht="15.5" x14ac:dyDescent="0.35">
      <c r="K239" s="20"/>
      <c r="L239" s="38"/>
      <c r="P239" s="37"/>
      <c r="Q239" s="37"/>
      <c r="R239" s="37"/>
      <c r="S239" s="37"/>
      <c r="T239" s="37"/>
      <c r="U239" s="37"/>
      <c r="V239" s="20"/>
      <c r="W239" s="20"/>
    </row>
    <row r="240" spans="11:23" s="31" customFormat="1" ht="15.5" x14ac:dyDescent="0.35">
      <c r="K240" s="20"/>
      <c r="L240" s="38"/>
      <c r="P240" s="37"/>
      <c r="Q240" s="37"/>
      <c r="R240" s="37"/>
      <c r="S240" s="37"/>
      <c r="T240" s="37"/>
      <c r="U240" s="37"/>
      <c r="V240" s="20"/>
      <c r="W240" s="20"/>
    </row>
    <row r="241" spans="11:23" s="31" customFormat="1" ht="15.5" x14ac:dyDescent="0.35">
      <c r="K241" s="20"/>
      <c r="L241" s="38"/>
      <c r="P241" s="37"/>
      <c r="Q241" s="37"/>
      <c r="R241" s="37"/>
      <c r="S241" s="37"/>
      <c r="T241" s="37"/>
      <c r="U241" s="37"/>
      <c r="V241" s="20"/>
      <c r="W241" s="20"/>
    </row>
    <row r="242" spans="11:23" s="31" customFormat="1" ht="15.5" x14ac:dyDescent="0.35">
      <c r="K242" s="20"/>
      <c r="L242" s="38"/>
      <c r="P242" s="37"/>
      <c r="Q242" s="37"/>
      <c r="R242" s="37"/>
      <c r="S242" s="37"/>
      <c r="T242" s="37"/>
      <c r="U242" s="37"/>
      <c r="V242" s="20"/>
      <c r="W242" s="20"/>
    </row>
    <row r="243" spans="11:23" s="31" customFormat="1" ht="15.5" x14ac:dyDescent="0.35">
      <c r="K243" s="20"/>
      <c r="L243" s="38"/>
      <c r="P243" s="37"/>
      <c r="Q243" s="37"/>
      <c r="R243" s="37"/>
      <c r="S243" s="37"/>
      <c r="T243" s="37"/>
      <c r="U243" s="37"/>
      <c r="V243" s="20"/>
      <c r="W243" s="20"/>
    </row>
    <row r="244" spans="11:23" s="31" customFormat="1" ht="15.5" x14ac:dyDescent="0.35">
      <c r="K244" s="20"/>
      <c r="L244" s="38"/>
      <c r="P244" s="37"/>
      <c r="Q244" s="37"/>
      <c r="R244" s="37"/>
      <c r="S244" s="37"/>
      <c r="T244" s="37"/>
      <c r="U244" s="37"/>
      <c r="V244" s="20"/>
      <c r="W244" s="20"/>
    </row>
    <row r="245" spans="11:23" s="31" customFormat="1" ht="15.5" x14ac:dyDescent="0.35">
      <c r="K245" s="20"/>
      <c r="L245" s="38"/>
      <c r="P245" s="37"/>
      <c r="Q245" s="37"/>
      <c r="R245" s="37"/>
      <c r="S245" s="37"/>
      <c r="T245" s="37"/>
      <c r="U245" s="37"/>
      <c r="V245" s="20"/>
      <c r="W245" s="20"/>
    </row>
    <row r="246" spans="11:23" s="31" customFormat="1" ht="15.5" x14ac:dyDescent="0.35">
      <c r="K246" s="20"/>
      <c r="L246" s="38"/>
      <c r="P246" s="37"/>
      <c r="Q246" s="37"/>
      <c r="R246" s="37"/>
      <c r="S246" s="37"/>
      <c r="T246" s="37"/>
      <c r="U246" s="37"/>
      <c r="V246" s="20"/>
      <c r="W246" s="20"/>
    </row>
    <row r="247" spans="11:23" s="31" customFormat="1" ht="15.5" x14ac:dyDescent="0.35">
      <c r="K247" s="20"/>
      <c r="L247" s="38"/>
      <c r="P247" s="37"/>
      <c r="Q247" s="37"/>
      <c r="R247" s="37"/>
      <c r="S247" s="37"/>
      <c r="T247" s="37"/>
      <c r="U247" s="37"/>
      <c r="V247" s="20"/>
      <c r="W247" s="20"/>
    </row>
    <row r="248" spans="11:23" s="31" customFormat="1" ht="15.5" x14ac:dyDescent="0.35">
      <c r="K248" s="20"/>
      <c r="L248" s="38"/>
      <c r="P248" s="37"/>
      <c r="Q248" s="37"/>
      <c r="R248" s="37"/>
      <c r="S248" s="37"/>
      <c r="T248" s="37"/>
      <c r="U248" s="37"/>
      <c r="V248" s="20"/>
      <c r="W248" s="20"/>
    </row>
    <row r="249" spans="11:23" s="31" customFormat="1" ht="15.5" x14ac:dyDescent="0.35">
      <c r="K249" s="20"/>
      <c r="L249" s="38"/>
      <c r="P249" s="37"/>
      <c r="Q249" s="37"/>
      <c r="R249" s="37"/>
      <c r="S249" s="37"/>
      <c r="T249" s="37"/>
      <c r="U249" s="37"/>
      <c r="V249" s="20"/>
      <c r="W249" s="20"/>
    </row>
    <row r="250" spans="11:23" s="31" customFormat="1" ht="15.5" x14ac:dyDescent="0.35">
      <c r="K250" s="20"/>
      <c r="L250" s="38"/>
      <c r="P250" s="37"/>
      <c r="Q250" s="37"/>
      <c r="R250" s="37"/>
      <c r="S250" s="37"/>
      <c r="T250" s="37"/>
      <c r="U250" s="37"/>
      <c r="V250" s="20"/>
      <c r="W250" s="20"/>
    </row>
    <row r="251" spans="11:23" s="31" customFormat="1" ht="15.5" x14ac:dyDescent="0.35">
      <c r="K251" s="20"/>
      <c r="L251" s="38"/>
      <c r="P251" s="37"/>
      <c r="Q251" s="37"/>
      <c r="R251" s="37"/>
      <c r="S251" s="37"/>
      <c r="T251" s="37"/>
      <c r="U251" s="37"/>
      <c r="V251" s="20"/>
      <c r="W251" s="20"/>
    </row>
    <row r="252" spans="11:23" s="31" customFormat="1" ht="15.5" x14ac:dyDescent="0.35">
      <c r="K252" s="20"/>
      <c r="L252" s="38"/>
      <c r="P252" s="37"/>
      <c r="Q252" s="37"/>
      <c r="R252" s="37"/>
      <c r="S252" s="37"/>
      <c r="T252" s="37"/>
      <c r="U252" s="37"/>
      <c r="V252" s="20"/>
      <c r="W252" s="20"/>
    </row>
    <row r="253" spans="11:23" s="31" customFormat="1" ht="15.5" x14ac:dyDescent="0.35">
      <c r="K253" s="20"/>
      <c r="L253" s="38"/>
      <c r="P253" s="37"/>
      <c r="Q253" s="37"/>
      <c r="R253" s="37"/>
      <c r="S253" s="37"/>
      <c r="T253" s="37"/>
      <c r="U253" s="37"/>
      <c r="V253" s="20"/>
      <c r="W253" s="20"/>
    </row>
    <row r="254" spans="11:23" s="31" customFormat="1" ht="15.5" x14ac:dyDescent="0.35">
      <c r="K254" s="20"/>
      <c r="L254" s="38"/>
      <c r="P254" s="37"/>
      <c r="Q254" s="37"/>
      <c r="R254" s="37"/>
      <c r="S254" s="37"/>
      <c r="T254" s="37"/>
      <c r="U254" s="37"/>
      <c r="V254" s="20"/>
      <c r="W254" s="20"/>
    </row>
    <row r="255" spans="11:23" s="31" customFormat="1" ht="15.5" x14ac:dyDescent="0.35">
      <c r="K255" s="20"/>
      <c r="L255" s="38"/>
      <c r="P255" s="37"/>
      <c r="Q255" s="37"/>
      <c r="R255" s="37"/>
      <c r="S255" s="37"/>
      <c r="T255" s="37"/>
      <c r="U255" s="37"/>
      <c r="V255" s="20"/>
      <c r="W255" s="20"/>
    </row>
    <row r="256" spans="11:23" s="31" customFormat="1" ht="15.5" x14ac:dyDescent="0.35">
      <c r="K256" s="20"/>
      <c r="L256" s="38"/>
      <c r="P256" s="37"/>
      <c r="Q256" s="37"/>
      <c r="R256" s="37"/>
      <c r="S256" s="37"/>
      <c r="T256" s="37"/>
      <c r="U256" s="37"/>
      <c r="V256" s="20"/>
      <c r="W256" s="20"/>
    </row>
    <row r="257" spans="11:23" s="31" customFormat="1" ht="15.5" x14ac:dyDescent="0.35">
      <c r="K257" s="20"/>
      <c r="L257" s="38"/>
      <c r="P257" s="37"/>
      <c r="Q257" s="37"/>
      <c r="R257" s="37"/>
      <c r="S257" s="37"/>
      <c r="T257" s="37"/>
      <c r="U257" s="37"/>
      <c r="V257" s="20"/>
      <c r="W257" s="20"/>
    </row>
    <row r="258" spans="11:23" s="31" customFormat="1" ht="15.5" x14ac:dyDescent="0.35">
      <c r="K258" s="20"/>
      <c r="L258" s="38"/>
      <c r="P258" s="37"/>
      <c r="Q258" s="37"/>
      <c r="R258" s="37"/>
      <c r="S258" s="37"/>
      <c r="T258" s="37"/>
      <c r="U258" s="37"/>
      <c r="V258" s="20"/>
      <c r="W258" s="20"/>
    </row>
    <row r="259" spans="11:23" s="31" customFormat="1" ht="15.5" x14ac:dyDescent="0.35">
      <c r="K259" s="20"/>
      <c r="L259" s="38"/>
      <c r="P259" s="37"/>
      <c r="Q259" s="37"/>
      <c r="R259" s="37"/>
      <c r="S259" s="37"/>
      <c r="T259" s="37"/>
      <c r="U259" s="37"/>
      <c r="V259" s="20"/>
      <c r="W259" s="20"/>
    </row>
    <row r="260" spans="11:23" s="31" customFormat="1" ht="15.5" x14ac:dyDescent="0.35">
      <c r="K260" s="20"/>
      <c r="L260" s="38"/>
      <c r="P260" s="37"/>
      <c r="Q260" s="37"/>
      <c r="R260" s="37"/>
      <c r="S260" s="37"/>
      <c r="T260" s="37"/>
      <c r="U260" s="37"/>
      <c r="V260" s="20"/>
      <c r="W260" s="20"/>
    </row>
    <row r="261" spans="11:23" s="31" customFormat="1" ht="15.5" x14ac:dyDescent="0.35">
      <c r="K261" s="20"/>
      <c r="L261" s="38"/>
      <c r="P261" s="37"/>
      <c r="Q261" s="37"/>
      <c r="R261" s="37"/>
      <c r="S261" s="37"/>
      <c r="T261" s="37"/>
      <c r="U261" s="37"/>
      <c r="V261" s="20"/>
      <c r="W261" s="20"/>
    </row>
    <row r="262" spans="11:23" s="31" customFormat="1" ht="15.5" x14ac:dyDescent="0.35">
      <c r="K262" s="20"/>
      <c r="L262" s="38"/>
      <c r="P262" s="37"/>
      <c r="Q262" s="37"/>
      <c r="R262" s="37"/>
      <c r="S262" s="37"/>
      <c r="T262" s="37"/>
      <c r="U262" s="37"/>
      <c r="V262" s="20"/>
      <c r="W262" s="20"/>
    </row>
    <row r="263" spans="11:23" s="31" customFormat="1" ht="15.5" x14ac:dyDescent="0.35">
      <c r="K263" s="20"/>
      <c r="L263" s="38"/>
      <c r="P263" s="37"/>
      <c r="Q263" s="37"/>
      <c r="R263" s="37"/>
      <c r="S263" s="37"/>
      <c r="T263" s="37"/>
      <c r="U263" s="37"/>
      <c r="V263" s="20"/>
      <c r="W263" s="20"/>
    </row>
    <row r="264" spans="11:23" s="31" customFormat="1" ht="15.5" x14ac:dyDescent="0.35">
      <c r="K264" s="20"/>
      <c r="L264" s="38"/>
      <c r="P264" s="37"/>
      <c r="Q264" s="37"/>
      <c r="R264" s="37"/>
      <c r="S264" s="37"/>
      <c r="T264" s="37"/>
      <c r="U264" s="37"/>
      <c r="V264" s="20"/>
      <c r="W264" s="20"/>
    </row>
    <row r="265" spans="11:23" s="31" customFormat="1" ht="15.5" x14ac:dyDescent="0.35">
      <c r="K265" s="20"/>
      <c r="L265" s="38"/>
      <c r="P265" s="37"/>
      <c r="Q265" s="37"/>
      <c r="R265" s="37"/>
      <c r="S265" s="37"/>
      <c r="T265" s="37"/>
      <c r="U265" s="37"/>
      <c r="V265" s="20"/>
      <c r="W265" s="20"/>
    </row>
    <row r="266" spans="11:23" s="31" customFormat="1" ht="15.5" x14ac:dyDescent="0.35">
      <c r="K266" s="20"/>
      <c r="L266" s="38"/>
      <c r="P266" s="37"/>
      <c r="Q266" s="37"/>
      <c r="R266" s="37"/>
      <c r="S266" s="37"/>
      <c r="T266" s="37"/>
      <c r="U266" s="37"/>
      <c r="V266" s="20"/>
      <c r="W266" s="20"/>
    </row>
    <row r="267" spans="11:23" s="31" customFormat="1" ht="15.5" x14ac:dyDescent="0.35">
      <c r="K267" s="20"/>
      <c r="L267" s="38"/>
      <c r="P267" s="37"/>
      <c r="Q267" s="37"/>
      <c r="R267" s="37"/>
      <c r="S267" s="37"/>
      <c r="T267" s="37"/>
      <c r="U267" s="37"/>
      <c r="V267" s="20"/>
      <c r="W267" s="20"/>
    </row>
    <row r="268" spans="11:23" s="31" customFormat="1" ht="15.5" x14ac:dyDescent="0.35">
      <c r="K268" s="20"/>
      <c r="L268" s="38"/>
      <c r="P268" s="37"/>
      <c r="Q268" s="37"/>
      <c r="R268" s="37"/>
      <c r="S268" s="37"/>
      <c r="T268" s="37"/>
      <c r="U268" s="37"/>
      <c r="V268" s="20"/>
      <c r="W268" s="20"/>
    </row>
    <row r="269" spans="11:23" s="31" customFormat="1" ht="15.5" x14ac:dyDescent="0.35">
      <c r="K269" s="20"/>
      <c r="L269" s="38"/>
      <c r="P269" s="37"/>
      <c r="Q269" s="37"/>
      <c r="R269" s="37"/>
      <c r="S269" s="37"/>
      <c r="T269" s="37"/>
      <c r="U269" s="37"/>
      <c r="V269" s="20"/>
      <c r="W269" s="20"/>
    </row>
    <row r="270" spans="11:23" s="31" customFormat="1" ht="15.5" x14ac:dyDescent="0.35">
      <c r="K270" s="20"/>
      <c r="L270" s="38"/>
      <c r="P270" s="37"/>
      <c r="Q270" s="37"/>
      <c r="R270" s="37"/>
      <c r="S270" s="37"/>
      <c r="T270" s="37"/>
      <c r="U270" s="37"/>
      <c r="V270" s="20"/>
      <c r="W270" s="20"/>
    </row>
    <row r="271" spans="11:23" s="31" customFormat="1" ht="15.5" x14ac:dyDescent="0.35">
      <c r="K271" s="20"/>
      <c r="L271" s="38"/>
      <c r="P271" s="37"/>
      <c r="Q271" s="37"/>
      <c r="R271" s="37"/>
      <c r="S271" s="37"/>
      <c r="T271" s="37"/>
      <c r="U271" s="37"/>
      <c r="V271" s="20"/>
      <c r="W271" s="20"/>
    </row>
    <row r="272" spans="11:23" s="31" customFormat="1" ht="15.5" x14ac:dyDescent="0.35">
      <c r="K272" s="20"/>
      <c r="L272" s="38"/>
      <c r="P272" s="37"/>
      <c r="Q272" s="37"/>
      <c r="R272" s="37"/>
      <c r="S272" s="37"/>
      <c r="T272" s="37"/>
      <c r="U272" s="37"/>
      <c r="V272" s="20"/>
      <c r="W272" s="20"/>
    </row>
    <row r="273" spans="11:23" s="31" customFormat="1" ht="15.5" x14ac:dyDescent="0.35">
      <c r="K273" s="20"/>
      <c r="L273" s="38"/>
      <c r="P273" s="37"/>
      <c r="Q273" s="37"/>
      <c r="R273" s="37"/>
      <c r="S273" s="37"/>
      <c r="T273" s="37"/>
      <c r="U273" s="37"/>
      <c r="V273" s="20"/>
      <c r="W273" s="20"/>
    </row>
    <row r="274" spans="11:23" s="31" customFormat="1" ht="15.5" x14ac:dyDescent="0.35">
      <c r="K274" s="20"/>
      <c r="L274" s="38"/>
      <c r="P274" s="37"/>
      <c r="Q274" s="37"/>
      <c r="R274" s="37"/>
      <c r="S274" s="37"/>
      <c r="T274" s="37"/>
      <c r="U274" s="37"/>
      <c r="V274" s="20"/>
      <c r="W274" s="20"/>
    </row>
    <row r="275" spans="11:23" s="31" customFormat="1" ht="15.5" x14ac:dyDescent="0.35">
      <c r="K275" s="20"/>
      <c r="L275" s="38"/>
      <c r="P275" s="37"/>
      <c r="Q275" s="37"/>
      <c r="R275" s="37"/>
      <c r="S275" s="37"/>
      <c r="T275" s="37"/>
      <c r="U275" s="37"/>
      <c r="V275" s="20"/>
      <c r="W275" s="20"/>
    </row>
    <row r="276" spans="11:23" s="31" customFormat="1" ht="15.5" x14ac:dyDescent="0.35">
      <c r="K276" s="20"/>
      <c r="L276" s="38"/>
      <c r="P276" s="37"/>
      <c r="Q276" s="37"/>
      <c r="R276" s="37"/>
      <c r="S276" s="37"/>
      <c r="T276" s="37"/>
      <c r="U276" s="37"/>
      <c r="V276" s="20"/>
      <c r="W276" s="20"/>
    </row>
    <row r="277" spans="11:23" s="31" customFormat="1" ht="15.5" x14ac:dyDescent="0.35">
      <c r="K277" s="20"/>
      <c r="L277" s="38"/>
      <c r="P277" s="37"/>
      <c r="Q277" s="37"/>
      <c r="R277" s="37"/>
      <c r="S277" s="37"/>
      <c r="T277" s="37"/>
      <c r="U277" s="37"/>
      <c r="V277" s="20"/>
      <c r="W277" s="20"/>
    </row>
    <row r="278" spans="11:23" s="31" customFormat="1" ht="15.5" x14ac:dyDescent="0.35">
      <c r="K278" s="20"/>
      <c r="L278" s="38"/>
      <c r="P278" s="37"/>
      <c r="Q278" s="37"/>
      <c r="R278" s="37"/>
      <c r="S278" s="37"/>
      <c r="T278" s="37"/>
      <c r="U278" s="37"/>
      <c r="V278" s="20"/>
      <c r="W278" s="20"/>
    </row>
    <row r="279" spans="11:23" s="31" customFormat="1" ht="15.5" x14ac:dyDescent="0.35">
      <c r="K279" s="20"/>
      <c r="L279" s="38"/>
      <c r="P279" s="37"/>
      <c r="Q279" s="37"/>
      <c r="R279" s="37"/>
      <c r="S279" s="37"/>
      <c r="T279" s="37"/>
      <c r="U279" s="37"/>
      <c r="V279" s="20"/>
      <c r="W279" s="20"/>
    </row>
    <row r="280" spans="11:23" s="31" customFormat="1" ht="15.5" x14ac:dyDescent="0.35">
      <c r="K280" s="20"/>
      <c r="L280" s="38"/>
      <c r="P280" s="37"/>
      <c r="Q280" s="37"/>
      <c r="R280" s="37"/>
      <c r="S280" s="37"/>
      <c r="T280" s="37"/>
      <c r="U280" s="37"/>
      <c r="V280" s="20"/>
      <c r="W280" s="20"/>
    </row>
    <row r="281" spans="11:23" s="31" customFormat="1" ht="15.5" x14ac:dyDescent="0.35">
      <c r="K281" s="20"/>
      <c r="L281" s="38"/>
      <c r="P281" s="37"/>
      <c r="Q281" s="37"/>
      <c r="R281" s="37"/>
      <c r="S281" s="37"/>
      <c r="T281" s="37"/>
      <c r="U281" s="37"/>
      <c r="V281" s="20"/>
      <c r="W281" s="20"/>
    </row>
    <row r="282" spans="11:23" s="31" customFormat="1" ht="15.5" x14ac:dyDescent="0.35">
      <c r="K282" s="20"/>
      <c r="L282" s="38"/>
      <c r="P282" s="37"/>
      <c r="Q282" s="37"/>
      <c r="R282" s="37"/>
      <c r="S282" s="37"/>
      <c r="T282" s="37"/>
      <c r="U282" s="37"/>
      <c r="V282" s="20"/>
      <c r="W282" s="20"/>
    </row>
    <row r="283" spans="11:23" s="31" customFormat="1" ht="15.5" x14ac:dyDescent="0.35">
      <c r="K283" s="20"/>
      <c r="L283" s="38"/>
      <c r="P283" s="37"/>
      <c r="Q283" s="37"/>
      <c r="R283" s="37"/>
      <c r="S283" s="37"/>
      <c r="T283" s="37"/>
      <c r="U283" s="37"/>
      <c r="V283" s="20"/>
      <c r="W283" s="20"/>
    </row>
    <row r="284" spans="11:23" s="31" customFormat="1" ht="15.5" x14ac:dyDescent="0.35">
      <c r="K284" s="20"/>
      <c r="L284" s="38"/>
      <c r="P284" s="37"/>
      <c r="Q284" s="37"/>
      <c r="R284" s="37"/>
      <c r="S284" s="37"/>
      <c r="T284" s="37"/>
      <c r="U284" s="37"/>
      <c r="V284" s="20"/>
      <c r="W284" s="20"/>
    </row>
    <row r="285" spans="11:23" s="31" customFormat="1" ht="15.5" x14ac:dyDescent="0.35">
      <c r="K285" s="20"/>
      <c r="L285" s="38"/>
      <c r="P285" s="37"/>
      <c r="Q285" s="37"/>
      <c r="R285" s="37"/>
      <c r="S285" s="37"/>
      <c r="T285" s="37"/>
      <c r="U285" s="37"/>
      <c r="V285" s="20"/>
      <c r="W285" s="20"/>
    </row>
    <row r="286" spans="11:23" s="31" customFormat="1" ht="15.5" x14ac:dyDescent="0.35">
      <c r="K286" s="20"/>
      <c r="L286" s="38"/>
      <c r="P286" s="37"/>
      <c r="Q286" s="37"/>
      <c r="R286" s="37"/>
      <c r="S286" s="37"/>
      <c r="T286" s="37"/>
      <c r="U286" s="37"/>
      <c r="V286" s="20"/>
      <c r="W286" s="20"/>
    </row>
    <row r="287" spans="11:23" s="31" customFormat="1" ht="15.5" x14ac:dyDescent="0.35">
      <c r="K287" s="20"/>
      <c r="L287" s="38"/>
      <c r="P287" s="37"/>
      <c r="Q287" s="37"/>
      <c r="R287" s="37"/>
      <c r="S287" s="37"/>
      <c r="T287" s="37"/>
      <c r="U287" s="37"/>
      <c r="V287" s="20"/>
      <c r="W287" s="20"/>
    </row>
    <row r="288" spans="11:23" s="31" customFormat="1" ht="15.5" x14ac:dyDescent="0.35">
      <c r="K288" s="20"/>
      <c r="L288" s="38"/>
      <c r="P288" s="37"/>
      <c r="Q288" s="37"/>
      <c r="R288" s="37"/>
      <c r="S288" s="37"/>
      <c r="T288" s="37"/>
      <c r="U288" s="37"/>
      <c r="V288" s="20"/>
      <c r="W288" s="20"/>
    </row>
    <row r="289" spans="11:23" s="31" customFormat="1" ht="15.5" x14ac:dyDescent="0.35">
      <c r="K289" s="20"/>
      <c r="L289" s="38"/>
      <c r="P289" s="37"/>
      <c r="Q289" s="37"/>
      <c r="R289" s="37"/>
      <c r="S289" s="37"/>
      <c r="T289" s="37"/>
      <c r="U289" s="37"/>
      <c r="V289" s="20"/>
      <c r="W289" s="20"/>
    </row>
    <row r="290" spans="11:23" s="31" customFormat="1" ht="15.5" x14ac:dyDescent="0.35">
      <c r="K290" s="20"/>
      <c r="L290" s="38"/>
      <c r="P290" s="37"/>
      <c r="Q290" s="37"/>
      <c r="R290" s="37"/>
      <c r="S290" s="37"/>
      <c r="T290" s="37"/>
      <c r="U290" s="37"/>
      <c r="V290" s="20"/>
      <c r="W290" s="20"/>
    </row>
    <row r="291" spans="11:23" s="31" customFormat="1" ht="15.5" x14ac:dyDescent="0.35">
      <c r="K291" s="20"/>
      <c r="L291" s="38"/>
      <c r="P291" s="37"/>
      <c r="Q291" s="37"/>
      <c r="R291" s="37"/>
      <c r="S291" s="37"/>
      <c r="T291" s="37"/>
      <c r="U291" s="37"/>
      <c r="V291" s="20"/>
      <c r="W291" s="20"/>
    </row>
    <row r="292" spans="11:23" s="31" customFormat="1" ht="15.5" x14ac:dyDescent="0.35">
      <c r="K292" s="20"/>
      <c r="L292" s="38"/>
      <c r="P292" s="37"/>
      <c r="Q292" s="37"/>
      <c r="R292" s="37"/>
      <c r="S292" s="37"/>
      <c r="T292" s="37"/>
      <c r="U292" s="37"/>
      <c r="V292" s="20"/>
      <c r="W292" s="20"/>
    </row>
    <row r="293" spans="11:23" s="31" customFormat="1" ht="15.5" x14ac:dyDescent="0.35">
      <c r="K293" s="20"/>
      <c r="L293" s="38"/>
      <c r="P293" s="37"/>
      <c r="Q293" s="37"/>
      <c r="R293" s="37"/>
      <c r="S293" s="37"/>
      <c r="T293" s="37"/>
      <c r="U293" s="37"/>
      <c r="V293" s="20"/>
      <c r="W293" s="20"/>
    </row>
    <row r="294" spans="11:23" s="31" customFormat="1" ht="15.5" x14ac:dyDescent="0.35">
      <c r="K294" s="20"/>
      <c r="L294" s="38"/>
      <c r="P294" s="37"/>
      <c r="Q294" s="37"/>
      <c r="R294" s="37"/>
      <c r="S294" s="37"/>
      <c r="T294" s="37"/>
      <c r="U294" s="37"/>
      <c r="V294" s="20"/>
      <c r="W294" s="20"/>
    </row>
    <row r="295" spans="11:23" s="31" customFormat="1" ht="15.5" x14ac:dyDescent="0.35">
      <c r="K295" s="20"/>
      <c r="L295" s="38"/>
      <c r="P295" s="37"/>
      <c r="Q295" s="37"/>
      <c r="R295" s="37"/>
      <c r="S295" s="37"/>
      <c r="T295" s="37"/>
      <c r="U295" s="37"/>
      <c r="V295" s="20"/>
      <c r="W295" s="20"/>
    </row>
    <row r="296" spans="11:23" s="31" customFormat="1" ht="15.5" x14ac:dyDescent="0.35">
      <c r="K296" s="20"/>
      <c r="L296" s="38"/>
      <c r="P296" s="37"/>
      <c r="Q296" s="37"/>
      <c r="R296" s="37"/>
      <c r="S296" s="37"/>
      <c r="T296" s="37"/>
      <c r="U296" s="37"/>
      <c r="V296" s="20"/>
      <c r="W296" s="20"/>
    </row>
    <row r="297" spans="11:23" s="31" customFormat="1" ht="15.5" x14ac:dyDescent="0.35">
      <c r="K297" s="20"/>
      <c r="L297" s="38"/>
      <c r="P297" s="37"/>
      <c r="Q297" s="37"/>
      <c r="R297" s="37"/>
      <c r="S297" s="37"/>
      <c r="T297" s="37"/>
      <c r="U297" s="37"/>
      <c r="V297" s="20"/>
      <c r="W297" s="20"/>
    </row>
    <row r="298" spans="11:23" s="31" customFormat="1" ht="15.5" x14ac:dyDescent="0.35">
      <c r="K298" s="20"/>
      <c r="L298" s="38"/>
      <c r="P298" s="37"/>
      <c r="Q298" s="37"/>
      <c r="R298" s="37"/>
      <c r="S298" s="37"/>
      <c r="T298" s="37"/>
      <c r="U298" s="37"/>
      <c r="V298" s="20"/>
      <c r="W298" s="20"/>
    </row>
    <row r="299" spans="11:23" s="31" customFormat="1" ht="15.5" x14ac:dyDescent="0.35">
      <c r="K299" s="20"/>
      <c r="L299" s="38"/>
      <c r="P299" s="37"/>
      <c r="Q299" s="37"/>
      <c r="R299" s="37"/>
      <c r="S299" s="37"/>
      <c r="T299" s="37"/>
      <c r="U299" s="37"/>
      <c r="V299" s="20"/>
      <c r="W299" s="20"/>
    </row>
    <row r="300" spans="11:23" s="31" customFormat="1" ht="15.5" x14ac:dyDescent="0.35">
      <c r="K300" s="20"/>
      <c r="L300" s="38"/>
      <c r="P300" s="37"/>
      <c r="Q300" s="37"/>
      <c r="R300" s="37"/>
      <c r="S300" s="37"/>
      <c r="T300" s="37"/>
      <c r="U300" s="37"/>
      <c r="V300" s="20"/>
      <c r="W300" s="20"/>
    </row>
    <row r="301" spans="11:23" s="31" customFormat="1" ht="15.5" x14ac:dyDescent="0.35">
      <c r="K301" s="20"/>
      <c r="L301" s="38"/>
      <c r="P301" s="37"/>
      <c r="Q301" s="37"/>
      <c r="R301" s="37"/>
      <c r="S301" s="37"/>
      <c r="T301" s="37"/>
      <c r="U301" s="37"/>
      <c r="V301" s="20"/>
      <c r="W301" s="20"/>
    </row>
    <row r="302" spans="11:23" s="31" customFormat="1" ht="15.5" x14ac:dyDescent="0.35">
      <c r="K302" s="20"/>
      <c r="L302" s="38"/>
      <c r="P302" s="37"/>
      <c r="Q302" s="37"/>
      <c r="R302" s="37"/>
      <c r="S302" s="37"/>
      <c r="T302" s="37"/>
      <c r="U302" s="37"/>
      <c r="V302" s="20"/>
      <c r="W302" s="20"/>
    </row>
    <row r="303" spans="11:23" s="31" customFormat="1" ht="15.5" x14ac:dyDescent="0.35">
      <c r="K303" s="20"/>
      <c r="L303" s="38"/>
      <c r="P303" s="37"/>
      <c r="Q303" s="37"/>
      <c r="R303" s="37"/>
      <c r="S303" s="37"/>
      <c r="T303" s="37"/>
      <c r="U303" s="37"/>
      <c r="V303" s="20"/>
      <c r="W303" s="20"/>
    </row>
    <row r="304" spans="11:23" s="31" customFormat="1" ht="15.5" x14ac:dyDescent="0.35">
      <c r="K304" s="20"/>
      <c r="L304" s="38"/>
      <c r="P304" s="37"/>
      <c r="Q304" s="37"/>
      <c r="R304" s="37"/>
      <c r="S304" s="37"/>
      <c r="T304" s="37"/>
      <c r="U304" s="37"/>
      <c r="V304" s="20"/>
      <c r="W304" s="20"/>
    </row>
    <row r="305" spans="11:23" s="31" customFormat="1" ht="15.5" x14ac:dyDescent="0.35">
      <c r="K305" s="20"/>
      <c r="L305" s="38"/>
      <c r="P305" s="37"/>
      <c r="Q305" s="37"/>
      <c r="R305" s="37"/>
      <c r="S305" s="37"/>
      <c r="T305" s="37"/>
      <c r="U305" s="37"/>
      <c r="V305" s="20"/>
      <c r="W305" s="20"/>
    </row>
    <row r="306" spans="11:23" s="31" customFormat="1" ht="15.5" x14ac:dyDescent="0.35">
      <c r="K306" s="20"/>
      <c r="L306" s="38"/>
      <c r="P306" s="37"/>
      <c r="Q306" s="37"/>
      <c r="R306" s="37"/>
      <c r="S306" s="37"/>
      <c r="T306" s="37"/>
      <c r="U306" s="37"/>
      <c r="V306" s="20"/>
      <c r="W306" s="20"/>
    </row>
    <row r="307" spans="11:23" s="31" customFormat="1" ht="15.5" x14ac:dyDescent="0.35">
      <c r="K307" s="20"/>
      <c r="L307" s="38"/>
      <c r="P307" s="37"/>
      <c r="Q307" s="37"/>
      <c r="R307" s="37"/>
      <c r="S307" s="37"/>
      <c r="T307" s="37"/>
      <c r="U307" s="37"/>
      <c r="V307" s="20"/>
      <c r="W307" s="20"/>
    </row>
    <row r="308" spans="11:23" s="31" customFormat="1" ht="15.5" x14ac:dyDescent="0.35">
      <c r="K308" s="20"/>
      <c r="L308" s="38"/>
      <c r="P308" s="37"/>
      <c r="Q308" s="37"/>
      <c r="R308" s="37"/>
      <c r="S308" s="37"/>
      <c r="T308" s="37"/>
      <c r="U308" s="37"/>
      <c r="V308" s="20"/>
      <c r="W308" s="20"/>
    </row>
    <row r="309" spans="11:23" s="31" customFormat="1" ht="15.5" x14ac:dyDescent="0.35">
      <c r="K309" s="20"/>
      <c r="L309" s="38"/>
      <c r="P309" s="37"/>
      <c r="Q309" s="37"/>
      <c r="R309" s="37"/>
      <c r="S309" s="37"/>
      <c r="T309" s="37"/>
      <c r="U309" s="37"/>
      <c r="V309" s="20"/>
      <c r="W309" s="20"/>
    </row>
    <row r="310" spans="11:23" s="31" customFormat="1" ht="15.5" x14ac:dyDescent="0.35">
      <c r="K310" s="20"/>
      <c r="L310" s="38"/>
      <c r="P310" s="37"/>
      <c r="Q310" s="37"/>
      <c r="R310" s="37"/>
      <c r="S310" s="37"/>
      <c r="T310" s="37"/>
      <c r="U310" s="37"/>
      <c r="V310" s="20"/>
      <c r="W310" s="20"/>
    </row>
    <row r="311" spans="11:23" s="31" customFormat="1" ht="15.5" x14ac:dyDescent="0.35">
      <c r="K311" s="20"/>
      <c r="L311" s="38"/>
      <c r="P311" s="37"/>
      <c r="Q311" s="37"/>
      <c r="R311" s="37"/>
      <c r="S311" s="37"/>
      <c r="T311" s="37"/>
      <c r="U311" s="37"/>
      <c r="V311" s="20"/>
      <c r="W311" s="20"/>
    </row>
    <row r="312" spans="11:23" s="31" customFormat="1" ht="15.5" x14ac:dyDescent="0.35">
      <c r="K312" s="20"/>
      <c r="L312" s="38"/>
      <c r="P312" s="37"/>
      <c r="Q312" s="37"/>
      <c r="R312" s="37"/>
      <c r="S312" s="37"/>
      <c r="T312" s="37"/>
      <c r="U312" s="37"/>
      <c r="V312" s="20"/>
      <c r="W312" s="20"/>
    </row>
    <row r="313" spans="11:23" s="31" customFormat="1" ht="15.5" x14ac:dyDescent="0.35">
      <c r="K313" s="20"/>
      <c r="L313" s="38"/>
      <c r="P313" s="37"/>
      <c r="Q313" s="37"/>
      <c r="R313" s="37"/>
      <c r="S313" s="37"/>
      <c r="T313" s="37"/>
      <c r="U313" s="37"/>
      <c r="V313" s="20"/>
      <c r="W313" s="20"/>
    </row>
    <row r="314" spans="11:23" s="31" customFormat="1" ht="15.5" x14ac:dyDescent="0.35">
      <c r="K314" s="20"/>
      <c r="L314" s="38"/>
      <c r="P314" s="37"/>
      <c r="Q314" s="37"/>
      <c r="R314" s="37"/>
      <c r="S314" s="37"/>
      <c r="T314" s="37"/>
      <c r="U314" s="37"/>
      <c r="V314" s="20"/>
      <c r="W314" s="20"/>
    </row>
    <row r="315" spans="11:23" s="31" customFormat="1" ht="15.5" x14ac:dyDescent="0.35">
      <c r="K315" s="20"/>
      <c r="L315" s="38"/>
      <c r="P315" s="37"/>
      <c r="Q315" s="37"/>
      <c r="R315" s="37"/>
      <c r="S315" s="37"/>
      <c r="T315" s="37"/>
      <c r="U315" s="37"/>
      <c r="V315" s="20"/>
      <c r="W315" s="20"/>
    </row>
    <row r="316" spans="11:23" s="31" customFormat="1" ht="15.5" x14ac:dyDescent="0.35">
      <c r="K316" s="20"/>
      <c r="L316" s="38"/>
      <c r="P316" s="37"/>
      <c r="Q316" s="37"/>
      <c r="R316" s="37"/>
      <c r="S316" s="37"/>
      <c r="T316" s="37"/>
      <c r="U316" s="37"/>
      <c r="V316" s="20"/>
      <c r="W316" s="20"/>
    </row>
    <row r="317" spans="11:23" s="31" customFormat="1" ht="15.5" x14ac:dyDescent="0.35">
      <c r="K317" s="20"/>
      <c r="L317" s="38"/>
      <c r="P317" s="37"/>
      <c r="Q317" s="37"/>
      <c r="R317" s="37"/>
      <c r="S317" s="37"/>
      <c r="T317" s="37"/>
      <c r="U317" s="37"/>
      <c r="V317" s="20"/>
      <c r="W317" s="20"/>
    </row>
    <row r="318" spans="11:23" s="31" customFormat="1" ht="15.5" x14ac:dyDescent="0.35">
      <c r="K318" s="20"/>
      <c r="L318" s="38"/>
      <c r="P318" s="37"/>
      <c r="Q318" s="37"/>
      <c r="R318" s="37"/>
      <c r="S318" s="37"/>
      <c r="T318" s="37"/>
      <c r="U318" s="37"/>
      <c r="V318" s="20"/>
      <c r="W318" s="20"/>
    </row>
    <row r="319" spans="11:23" s="31" customFormat="1" ht="15.5" x14ac:dyDescent="0.35">
      <c r="K319" s="20"/>
      <c r="L319" s="38"/>
      <c r="P319" s="37"/>
      <c r="Q319" s="37"/>
      <c r="R319" s="37"/>
      <c r="S319" s="37"/>
      <c r="T319" s="37"/>
      <c r="U319" s="37"/>
      <c r="V319" s="20"/>
      <c r="W319" s="20"/>
    </row>
    <row r="320" spans="11:23" s="31" customFormat="1" ht="15.5" x14ac:dyDescent="0.35">
      <c r="K320" s="20"/>
      <c r="L320" s="38"/>
      <c r="P320" s="37"/>
      <c r="Q320" s="37"/>
      <c r="R320" s="37"/>
      <c r="S320" s="37"/>
      <c r="T320" s="37"/>
      <c r="U320" s="37"/>
      <c r="V320" s="20"/>
      <c r="W320" s="20"/>
    </row>
    <row r="321" spans="11:23" s="31" customFormat="1" ht="15.5" x14ac:dyDescent="0.35">
      <c r="K321" s="20"/>
      <c r="P321" s="37"/>
      <c r="Q321" s="37"/>
      <c r="R321" s="37"/>
      <c r="S321" s="37"/>
      <c r="T321" s="37"/>
      <c r="U321" s="37"/>
      <c r="V321" s="20"/>
      <c r="W321" s="20"/>
    </row>
    <row r="322" spans="11:23" s="31" customFormat="1" ht="15.5" x14ac:dyDescent="0.35">
      <c r="K322" s="20"/>
      <c r="P322" s="37"/>
      <c r="Q322" s="37"/>
      <c r="R322" s="37"/>
      <c r="S322" s="37"/>
      <c r="T322" s="37"/>
      <c r="U322" s="37"/>
      <c r="V322" s="20"/>
      <c r="W322" s="20"/>
    </row>
    <row r="323" spans="11:23" s="31" customFormat="1" ht="15.5" x14ac:dyDescent="0.35">
      <c r="K323" s="20"/>
      <c r="P323" s="37"/>
      <c r="Q323" s="37"/>
      <c r="R323" s="37"/>
      <c r="S323" s="37"/>
      <c r="T323" s="37"/>
      <c r="U323" s="37"/>
      <c r="V323" s="20"/>
      <c r="W323" s="20"/>
    </row>
    <row r="324" spans="11:23" s="31" customFormat="1" ht="15.5" x14ac:dyDescent="0.35">
      <c r="K324" s="20"/>
      <c r="P324" s="37"/>
      <c r="Q324" s="37"/>
      <c r="R324" s="37"/>
      <c r="S324" s="37"/>
      <c r="T324" s="37"/>
      <c r="U324" s="37"/>
      <c r="V324" s="20"/>
      <c r="W324" s="20"/>
    </row>
    <row r="325" spans="11:23" s="31" customFormat="1" ht="15.5" x14ac:dyDescent="0.35">
      <c r="K325" s="20"/>
      <c r="P325" s="37"/>
      <c r="Q325" s="37"/>
      <c r="R325" s="37"/>
      <c r="S325" s="37"/>
      <c r="T325" s="37"/>
      <c r="U325" s="37"/>
      <c r="V325" s="20"/>
      <c r="W325" s="20"/>
    </row>
    <row r="326" spans="11:23" s="31" customFormat="1" ht="15.5" x14ac:dyDescent="0.35">
      <c r="K326" s="20"/>
      <c r="P326" s="37"/>
      <c r="Q326" s="37"/>
      <c r="R326" s="37"/>
      <c r="S326" s="37"/>
      <c r="T326" s="37"/>
      <c r="U326" s="37"/>
      <c r="V326" s="20"/>
      <c r="W326" s="20"/>
    </row>
    <row r="327" spans="11:23" s="31" customFormat="1" ht="15.5" x14ac:dyDescent="0.35">
      <c r="K327" s="20"/>
      <c r="P327" s="37"/>
      <c r="Q327" s="37"/>
      <c r="R327" s="37"/>
      <c r="S327" s="37"/>
      <c r="T327" s="37"/>
      <c r="U327" s="37"/>
      <c r="V327" s="20"/>
      <c r="W327" s="20"/>
    </row>
    <row r="328" spans="11:23" s="31" customFormat="1" ht="15.5" x14ac:dyDescent="0.35">
      <c r="K328" s="20"/>
      <c r="P328" s="37"/>
      <c r="Q328" s="37"/>
      <c r="R328" s="37"/>
      <c r="S328" s="37"/>
      <c r="T328" s="37"/>
      <c r="U328" s="37"/>
      <c r="V328" s="20"/>
      <c r="W328" s="20"/>
    </row>
    <row r="329" spans="11:23" s="31" customFormat="1" ht="15.5" x14ac:dyDescent="0.35">
      <c r="K329" s="20"/>
      <c r="P329" s="37"/>
      <c r="Q329" s="37"/>
      <c r="R329" s="37"/>
      <c r="S329" s="37"/>
      <c r="T329" s="37"/>
      <c r="U329" s="37"/>
      <c r="V329" s="20"/>
      <c r="W329" s="20"/>
    </row>
    <row r="330" spans="11:23" s="31" customFormat="1" ht="15.5" x14ac:dyDescent="0.35">
      <c r="K330" s="20"/>
      <c r="P330" s="37"/>
      <c r="Q330" s="37"/>
      <c r="R330" s="37"/>
      <c r="S330" s="37"/>
      <c r="T330" s="37"/>
      <c r="U330" s="37"/>
      <c r="V330" s="20"/>
      <c r="W330" s="20"/>
    </row>
    <row r="331" spans="11:23" s="31" customFormat="1" ht="15.5" x14ac:dyDescent="0.35">
      <c r="K331" s="20"/>
      <c r="P331" s="37"/>
      <c r="Q331" s="37"/>
      <c r="R331" s="37"/>
      <c r="S331" s="37"/>
      <c r="T331" s="37"/>
      <c r="U331" s="37"/>
      <c r="V331" s="20"/>
      <c r="W331" s="20"/>
    </row>
    <row r="332" spans="11:23" s="31" customFormat="1" ht="15.5" x14ac:dyDescent="0.35">
      <c r="K332" s="20"/>
      <c r="P332" s="37"/>
      <c r="Q332" s="37"/>
      <c r="R332" s="37"/>
      <c r="S332" s="37"/>
      <c r="T332" s="37"/>
      <c r="U332" s="37"/>
      <c r="V332" s="20"/>
      <c r="W332" s="20"/>
    </row>
    <row r="333" spans="11:23" s="31" customFormat="1" ht="15.5" x14ac:dyDescent="0.35">
      <c r="K333" s="20"/>
      <c r="P333" s="37"/>
      <c r="Q333" s="37"/>
      <c r="R333" s="37"/>
      <c r="S333" s="37"/>
      <c r="T333" s="37"/>
      <c r="U333" s="37"/>
      <c r="V333" s="20"/>
      <c r="W333" s="20"/>
    </row>
    <row r="334" spans="11:23" s="31" customFormat="1" ht="15.5" x14ac:dyDescent="0.35">
      <c r="K334" s="20"/>
      <c r="P334" s="37"/>
      <c r="Q334" s="37"/>
      <c r="R334" s="37"/>
      <c r="S334" s="37"/>
      <c r="T334" s="37"/>
      <c r="U334" s="37"/>
      <c r="V334" s="20"/>
      <c r="W334" s="20"/>
    </row>
    <row r="335" spans="11:23" s="31" customFormat="1" ht="15.5" x14ac:dyDescent="0.35">
      <c r="K335" s="20"/>
      <c r="P335" s="37"/>
      <c r="Q335" s="37"/>
      <c r="R335" s="37"/>
      <c r="S335" s="37"/>
      <c r="T335" s="37"/>
      <c r="U335" s="37"/>
      <c r="V335" s="20"/>
      <c r="W335" s="20"/>
    </row>
    <row r="336" spans="11:23" s="31" customFormat="1" ht="15.5" x14ac:dyDescent="0.35">
      <c r="K336" s="20"/>
      <c r="P336" s="37"/>
      <c r="Q336" s="37"/>
      <c r="R336" s="37"/>
      <c r="S336" s="37"/>
      <c r="T336" s="37"/>
      <c r="U336" s="37"/>
      <c r="V336" s="20"/>
      <c r="W336" s="20"/>
    </row>
    <row r="337" spans="11:23" s="31" customFormat="1" ht="15.5" x14ac:dyDescent="0.35">
      <c r="K337" s="20"/>
      <c r="P337" s="37"/>
      <c r="Q337" s="37"/>
      <c r="R337" s="37"/>
      <c r="S337" s="37"/>
      <c r="T337" s="37"/>
      <c r="U337" s="37"/>
      <c r="V337" s="20"/>
      <c r="W337" s="20"/>
    </row>
    <row r="338" spans="11:23" s="31" customFormat="1" ht="15.5" x14ac:dyDescent="0.35">
      <c r="K338" s="20"/>
      <c r="P338" s="37"/>
      <c r="Q338" s="37"/>
      <c r="R338" s="37"/>
      <c r="S338" s="37"/>
      <c r="T338" s="37"/>
      <c r="U338" s="37"/>
      <c r="V338" s="20"/>
      <c r="W338" s="20"/>
    </row>
    <row r="339" spans="11:23" s="31" customFormat="1" ht="15.5" x14ac:dyDescent="0.35">
      <c r="K339" s="20"/>
      <c r="P339" s="37"/>
      <c r="Q339" s="37"/>
      <c r="R339" s="37"/>
      <c r="S339" s="37"/>
      <c r="T339" s="37"/>
      <c r="U339" s="37"/>
      <c r="V339" s="20"/>
      <c r="W339" s="20"/>
    </row>
    <row r="340" spans="11:23" s="31" customFormat="1" ht="15.5" x14ac:dyDescent="0.35">
      <c r="K340" s="20"/>
      <c r="P340" s="37"/>
      <c r="Q340" s="37"/>
      <c r="R340" s="37"/>
      <c r="S340" s="37"/>
      <c r="T340" s="37"/>
      <c r="U340" s="37"/>
      <c r="V340" s="20"/>
      <c r="W340" s="20"/>
    </row>
    <row r="341" spans="11:23" s="31" customFormat="1" ht="15.5" x14ac:dyDescent="0.35">
      <c r="K341" s="20"/>
      <c r="P341" s="37"/>
      <c r="Q341" s="37"/>
      <c r="R341" s="37"/>
      <c r="S341" s="37"/>
      <c r="T341" s="37"/>
      <c r="U341" s="37"/>
      <c r="V341" s="20"/>
      <c r="W341" s="20"/>
    </row>
    <row r="342" spans="11:23" s="31" customFormat="1" ht="15.5" x14ac:dyDescent="0.35">
      <c r="K342" s="20"/>
      <c r="P342" s="37"/>
      <c r="Q342" s="37"/>
      <c r="R342" s="37"/>
      <c r="S342" s="37"/>
      <c r="T342" s="37"/>
      <c r="U342" s="37"/>
      <c r="V342" s="20"/>
      <c r="W342" s="20"/>
    </row>
    <row r="343" spans="11:23" s="31" customFormat="1" ht="15.5" x14ac:dyDescent="0.35">
      <c r="K343" s="20"/>
      <c r="P343" s="37"/>
      <c r="Q343" s="37"/>
      <c r="R343" s="37"/>
      <c r="S343" s="37"/>
      <c r="T343" s="37"/>
      <c r="U343" s="37"/>
      <c r="V343" s="20"/>
      <c r="W343" s="20"/>
    </row>
    <row r="344" spans="11:23" s="31" customFormat="1" ht="15.5" x14ac:dyDescent="0.35">
      <c r="K344" s="20"/>
      <c r="P344" s="37"/>
      <c r="Q344" s="37"/>
      <c r="R344" s="37"/>
      <c r="S344" s="37"/>
      <c r="T344" s="37"/>
      <c r="U344" s="37"/>
      <c r="V344" s="20"/>
      <c r="W344" s="20"/>
    </row>
    <row r="345" spans="11:23" s="31" customFormat="1" ht="15.5" x14ac:dyDescent="0.35">
      <c r="K345" s="20"/>
      <c r="P345" s="37"/>
      <c r="Q345" s="37"/>
      <c r="R345" s="37"/>
      <c r="S345" s="37"/>
      <c r="T345" s="37"/>
      <c r="U345" s="37"/>
      <c r="V345" s="20"/>
      <c r="W345" s="20"/>
    </row>
    <row r="346" spans="11:23" s="31" customFormat="1" ht="15.5" x14ac:dyDescent="0.35">
      <c r="K346" s="20"/>
      <c r="P346" s="37"/>
      <c r="Q346" s="37"/>
      <c r="R346" s="37"/>
      <c r="S346" s="37"/>
      <c r="T346" s="37"/>
      <c r="U346" s="37"/>
      <c r="V346" s="20"/>
      <c r="W346" s="20"/>
    </row>
    <row r="347" spans="11:23" s="31" customFormat="1" ht="15.5" x14ac:dyDescent="0.35">
      <c r="K347" s="20"/>
      <c r="P347" s="37"/>
      <c r="Q347" s="37"/>
      <c r="R347" s="37"/>
      <c r="S347" s="37"/>
      <c r="T347" s="37"/>
      <c r="U347" s="37"/>
      <c r="V347" s="20"/>
      <c r="W347" s="20"/>
    </row>
    <row r="348" spans="11:23" s="31" customFormat="1" ht="15.5" x14ac:dyDescent="0.35">
      <c r="K348" s="20"/>
      <c r="P348" s="37"/>
      <c r="Q348" s="37"/>
      <c r="R348" s="37"/>
      <c r="S348" s="37"/>
      <c r="T348" s="37"/>
      <c r="U348" s="37"/>
      <c r="V348" s="20"/>
      <c r="W348" s="20"/>
    </row>
    <row r="349" spans="11:23" s="31" customFormat="1" ht="15.5" x14ac:dyDescent="0.35">
      <c r="K349" s="20"/>
      <c r="P349" s="37"/>
      <c r="Q349" s="37"/>
      <c r="R349" s="37"/>
      <c r="S349" s="37"/>
      <c r="T349" s="37"/>
      <c r="U349" s="37"/>
      <c r="V349" s="20"/>
      <c r="W349" s="20"/>
    </row>
    <row r="350" spans="11:23" s="31" customFormat="1" ht="15.5" x14ac:dyDescent="0.35">
      <c r="K350" s="20"/>
      <c r="P350" s="37"/>
      <c r="Q350" s="37"/>
      <c r="R350" s="37"/>
      <c r="S350" s="37"/>
      <c r="T350" s="37"/>
      <c r="U350" s="37"/>
      <c r="V350" s="20"/>
      <c r="W350" s="20"/>
    </row>
    <row r="351" spans="11:23" s="31" customFormat="1" ht="15.5" x14ac:dyDescent="0.35">
      <c r="K351" s="20"/>
      <c r="P351" s="37"/>
      <c r="Q351" s="37"/>
      <c r="R351" s="37"/>
      <c r="S351" s="37"/>
      <c r="T351" s="37"/>
      <c r="U351" s="37"/>
      <c r="V351" s="20"/>
      <c r="W351" s="20"/>
    </row>
    <row r="352" spans="11:23" s="31" customFormat="1" ht="15.5" x14ac:dyDescent="0.35">
      <c r="K352" s="20"/>
      <c r="P352" s="37"/>
      <c r="Q352" s="37"/>
      <c r="R352" s="37"/>
      <c r="S352" s="37"/>
      <c r="T352" s="37"/>
      <c r="U352" s="37"/>
      <c r="V352" s="20"/>
      <c r="W352" s="20"/>
    </row>
    <row r="353" spans="11:23" s="31" customFormat="1" ht="15.5" x14ac:dyDescent="0.35">
      <c r="K353" s="20"/>
      <c r="P353" s="37"/>
      <c r="Q353" s="37"/>
      <c r="R353" s="37"/>
      <c r="S353" s="37"/>
      <c r="T353" s="37"/>
      <c r="U353" s="37"/>
      <c r="V353" s="20"/>
      <c r="W353" s="20"/>
    </row>
    <row r="354" spans="11:23" s="31" customFormat="1" ht="15.5" x14ac:dyDescent="0.35">
      <c r="K354" s="20"/>
      <c r="P354" s="37"/>
      <c r="Q354" s="37"/>
      <c r="R354" s="37"/>
      <c r="S354" s="37"/>
      <c r="T354" s="37"/>
      <c r="U354" s="37"/>
      <c r="V354" s="20"/>
      <c r="W354" s="20"/>
    </row>
    <row r="355" spans="11:23" s="31" customFormat="1" ht="15.5" x14ac:dyDescent="0.35">
      <c r="K355" s="20"/>
      <c r="P355" s="37"/>
      <c r="Q355" s="37"/>
      <c r="R355" s="37"/>
      <c r="S355" s="37"/>
      <c r="T355" s="37"/>
      <c r="U355" s="37"/>
      <c r="V355" s="20"/>
      <c r="W355" s="20"/>
    </row>
    <row r="356" spans="11:23" s="31" customFormat="1" ht="15.5" x14ac:dyDescent="0.35">
      <c r="K356" s="20"/>
      <c r="P356" s="37"/>
      <c r="Q356" s="37"/>
      <c r="R356" s="37"/>
      <c r="S356" s="37"/>
      <c r="T356" s="37"/>
      <c r="U356" s="37"/>
      <c r="V356" s="20"/>
      <c r="W356" s="20"/>
    </row>
    <row r="357" spans="11:23" s="31" customFormat="1" ht="15.5" x14ac:dyDescent="0.35">
      <c r="K357" s="20"/>
      <c r="P357" s="37"/>
      <c r="Q357" s="37"/>
      <c r="R357" s="37"/>
      <c r="S357" s="37"/>
      <c r="T357" s="37"/>
      <c r="U357" s="37"/>
      <c r="V357" s="20"/>
      <c r="W357" s="20"/>
    </row>
    <row r="358" spans="11:23" s="31" customFormat="1" ht="15.5" x14ac:dyDescent="0.35">
      <c r="K358" s="20"/>
      <c r="P358" s="20"/>
      <c r="Q358" s="20"/>
      <c r="R358" s="20"/>
      <c r="S358" s="20"/>
      <c r="T358" s="20"/>
      <c r="U358" s="20"/>
      <c r="V358" s="20"/>
      <c r="W358" s="20"/>
    </row>
    <row r="359" spans="11:23" s="31" customFormat="1" ht="15.5" x14ac:dyDescent="0.35">
      <c r="K359" s="20"/>
      <c r="P359" s="20"/>
      <c r="Q359" s="20"/>
      <c r="R359" s="20"/>
      <c r="S359" s="20"/>
      <c r="T359" s="20"/>
      <c r="U359" s="20"/>
      <c r="V359" s="20"/>
      <c r="W359" s="20"/>
    </row>
    <row r="360" spans="11:23" s="31" customFormat="1" ht="15.5" x14ac:dyDescent="0.35">
      <c r="K360" s="20"/>
      <c r="P360" s="20"/>
      <c r="Q360" s="20"/>
      <c r="R360" s="20"/>
      <c r="S360" s="20"/>
      <c r="T360" s="20"/>
      <c r="U360" s="20"/>
      <c r="V360" s="20"/>
      <c r="W360" s="20"/>
    </row>
    <row r="361" spans="11:23" s="31" customFormat="1" ht="15.5" x14ac:dyDescent="0.35">
      <c r="K361" s="20"/>
      <c r="P361" s="20"/>
      <c r="Q361" s="20"/>
      <c r="R361" s="20"/>
      <c r="S361" s="20"/>
      <c r="T361" s="20"/>
      <c r="U361" s="20"/>
      <c r="V361" s="20"/>
      <c r="W361" s="2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E1C2-208F-4AFD-80FE-4B7C8BAD75C8}">
  <sheetPr codeName="Sheet17">
    <tabColor rgb="FF0000FF"/>
  </sheetPr>
  <dimension ref="A1:AJ355"/>
  <sheetViews>
    <sheetView zoomScale="110" workbookViewId="0">
      <selection activeCell="V39" sqref="V39"/>
    </sheetView>
  </sheetViews>
  <sheetFormatPr defaultRowHeight="14.5" x14ac:dyDescent="0.35"/>
  <cols>
    <col min="1" max="1" width="12.81640625" customWidth="1"/>
    <col min="2" max="2" width="13.7265625" customWidth="1"/>
    <col min="3" max="3" width="15.26953125" customWidth="1"/>
    <col min="4" max="4" width="16" customWidth="1"/>
    <col min="5" max="5" width="16.26953125" customWidth="1"/>
    <col min="6" max="6" width="16.7265625" customWidth="1"/>
    <col min="7" max="7" width="14.26953125" customWidth="1"/>
    <col min="8" max="8" width="15.1796875" customWidth="1"/>
    <col min="9" max="9" width="14.7265625" customWidth="1"/>
    <col min="10" max="10" width="14.26953125" style="2" customWidth="1"/>
    <col min="11" max="12" width="15.453125" bestFit="1" customWidth="1"/>
    <col min="13" max="14" width="15.7265625" customWidth="1"/>
    <col min="15" max="15" width="17" style="2" customWidth="1"/>
    <col min="16" max="16" width="14.26953125" style="2" customWidth="1"/>
    <col min="17" max="17" width="15.26953125" style="2" customWidth="1"/>
    <col min="18" max="18" width="14.7265625" style="2" customWidth="1"/>
    <col min="19" max="19" width="15.453125" style="2" bestFit="1" customWidth="1"/>
    <col min="20" max="20" width="9.1796875" style="2"/>
    <col min="21" max="21" width="12.26953125" style="2" bestFit="1" customWidth="1"/>
    <col min="22" max="22" width="15.7265625" style="2" customWidth="1"/>
    <col min="25" max="26" width="14.453125" bestFit="1" customWidth="1"/>
    <col min="31" max="31" width="12.54296875" bestFit="1" customWidth="1"/>
    <col min="32" max="33" width="13.453125" bestFit="1" customWidth="1"/>
    <col min="34" max="34" width="16" bestFit="1" customWidth="1"/>
    <col min="35" max="36" width="13.453125" bestFit="1" customWidth="1"/>
  </cols>
  <sheetData>
    <row r="1" spans="1:36" ht="15.5" x14ac:dyDescent="0.35">
      <c r="G1" s="19"/>
    </row>
    <row r="2" spans="1:36" ht="18.5" x14ac:dyDescent="0.45">
      <c r="A2" s="57" t="s">
        <v>473</v>
      </c>
      <c r="G2" s="13"/>
      <c r="N2" s="54"/>
      <c r="R2" s="58"/>
    </row>
    <row r="3" spans="1:36" ht="18.5" x14ac:dyDescent="0.45">
      <c r="A3" s="57" t="s">
        <v>475</v>
      </c>
      <c r="G3" s="14"/>
      <c r="H3" s="13"/>
      <c r="N3" s="59"/>
      <c r="R3" s="60"/>
    </row>
    <row r="4" spans="1:36" ht="18.5" x14ac:dyDescent="0.45">
      <c r="A4" s="57" t="s">
        <v>590</v>
      </c>
      <c r="G4" s="14"/>
      <c r="H4" s="13"/>
      <c r="N4" s="8"/>
      <c r="R4" s="62"/>
    </row>
    <row r="5" spans="1:36" ht="19" thickBot="1" x14ac:dyDescent="0.5">
      <c r="A5" s="57" t="s">
        <v>591</v>
      </c>
      <c r="N5" s="8"/>
      <c r="O5" s="62"/>
      <c r="P5" s="62"/>
      <c r="Q5" s="62"/>
      <c r="R5" s="62"/>
      <c r="S5" s="63"/>
    </row>
    <row r="6" spans="1:36" ht="15.5" x14ac:dyDescent="0.35">
      <c r="A6" s="282" t="s">
        <v>592</v>
      </c>
      <c r="B6" s="283"/>
      <c r="C6" s="284"/>
      <c r="D6" s="285" t="s">
        <v>497</v>
      </c>
      <c r="E6" s="285">
        <v>10</v>
      </c>
      <c r="G6" s="13"/>
      <c r="H6" s="13"/>
      <c r="J6" s="62"/>
      <c r="N6" s="64"/>
      <c r="O6" s="62"/>
      <c r="P6" s="62"/>
      <c r="Q6" s="62"/>
      <c r="AE6" s="8"/>
      <c r="AF6" s="12"/>
      <c r="AG6" s="12"/>
      <c r="AH6" s="12"/>
      <c r="AI6" s="12"/>
      <c r="AJ6" s="12"/>
    </row>
    <row r="7" spans="1:36" ht="15.5" x14ac:dyDescent="0.35">
      <c r="A7" s="65" t="s">
        <v>593</v>
      </c>
      <c r="B7" s="65"/>
      <c r="D7" s="66"/>
      <c r="E7" s="67">
        <v>7.7812216821069235E-3</v>
      </c>
      <c r="G7" s="12"/>
      <c r="H7" s="14"/>
      <c r="J7" s="62"/>
      <c r="N7" s="13"/>
      <c r="O7" s="62"/>
      <c r="P7" s="62"/>
      <c r="Q7" s="62"/>
      <c r="AE7" s="8"/>
      <c r="AF7" s="12"/>
      <c r="AG7" s="12"/>
      <c r="AH7" s="12"/>
      <c r="AI7" s="12"/>
      <c r="AJ7" s="12"/>
    </row>
    <row r="8" spans="1:36" ht="15" thickBot="1" x14ac:dyDescent="0.4">
      <c r="A8" s="68" t="s">
        <v>594</v>
      </c>
      <c r="B8" s="68"/>
      <c r="C8" s="69"/>
      <c r="D8" s="70"/>
      <c r="E8" s="71">
        <v>0.28110000000000002</v>
      </c>
      <c r="O8" s="62"/>
      <c r="P8" s="62"/>
      <c r="Q8" s="62"/>
      <c r="AE8" s="8"/>
      <c r="AF8" s="12"/>
      <c r="AG8" s="12"/>
      <c r="AH8" s="12"/>
      <c r="AI8" s="12"/>
      <c r="AJ8" s="12"/>
    </row>
    <row r="9" spans="1:36" x14ac:dyDescent="0.35">
      <c r="C9" s="64"/>
      <c r="AE9" s="8"/>
      <c r="AF9" s="12"/>
      <c r="AG9" s="12"/>
      <c r="AH9" s="12"/>
      <c r="AI9" s="12"/>
      <c r="AJ9" s="12"/>
    </row>
    <row r="10" spans="1:36" x14ac:dyDescent="0.35">
      <c r="B10" s="72">
        <v>-1</v>
      </c>
      <c r="C10" s="72">
        <v>-2</v>
      </c>
      <c r="D10" s="72">
        <v>-3</v>
      </c>
      <c r="E10" s="72">
        <v>-4</v>
      </c>
      <c r="F10" s="72">
        <v>-5</v>
      </c>
      <c r="G10" s="72">
        <v>-6</v>
      </c>
      <c r="H10" s="72">
        <v>-7</v>
      </c>
      <c r="I10" s="72">
        <v>-8</v>
      </c>
      <c r="J10" s="72">
        <v>-9</v>
      </c>
      <c r="K10" s="72">
        <v>-10</v>
      </c>
      <c r="L10" s="72">
        <v>-11</v>
      </c>
      <c r="M10" s="72">
        <v>-12</v>
      </c>
      <c r="N10" s="72">
        <v>-13</v>
      </c>
      <c r="O10" s="72">
        <v>-14</v>
      </c>
      <c r="P10" s="72">
        <v>-15</v>
      </c>
      <c r="Q10" s="72">
        <v>-16</v>
      </c>
      <c r="R10" s="72">
        <v>-17</v>
      </c>
      <c r="S10" s="72">
        <v>-18</v>
      </c>
      <c r="AE10" s="8"/>
      <c r="AF10" s="8"/>
      <c r="AG10" s="8"/>
      <c r="AH10" s="8"/>
      <c r="AI10" s="8"/>
      <c r="AJ10" s="8"/>
    </row>
    <row r="11" spans="1:36" x14ac:dyDescent="0.35">
      <c r="J11"/>
      <c r="K11" s="2"/>
      <c r="N11" s="2" t="s">
        <v>230</v>
      </c>
      <c r="O11" s="2" t="s">
        <v>220</v>
      </c>
    </row>
    <row r="12" spans="1:36" s="31" customFormat="1" ht="15.5" x14ac:dyDescent="0.35">
      <c r="A12" s="2"/>
      <c r="B12" s="2"/>
      <c r="C12" s="2"/>
      <c r="D12" s="2" t="s">
        <v>149</v>
      </c>
      <c r="E12" s="2"/>
      <c r="F12"/>
      <c r="G12" s="2" t="s">
        <v>179</v>
      </c>
      <c r="H12" s="2" t="s">
        <v>188</v>
      </c>
      <c r="I12"/>
      <c r="J12"/>
      <c r="K12" s="2"/>
      <c r="L12" s="2" t="s">
        <v>596</v>
      </c>
      <c r="M12"/>
      <c r="N12" s="2" t="s">
        <v>185</v>
      </c>
      <c r="O12" s="2" t="s">
        <v>185</v>
      </c>
      <c r="P12" s="2"/>
      <c r="Q12" s="2"/>
      <c r="R12" s="2"/>
      <c r="S12" s="2"/>
      <c r="T12" s="2"/>
      <c r="U12" s="2"/>
      <c r="V12" s="2"/>
    </row>
    <row r="13" spans="1:36" s="31" customFormat="1" ht="15.5" x14ac:dyDescent="0.35">
      <c r="A13" s="2" t="s">
        <v>597</v>
      </c>
      <c r="B13" s="2" t="s">
        <v>179</v>
      </c>
      <c r="C13" s="2" t="s">
        <v>188</v>
      </c>
      <c r="D13" s="2" t="s">
        <v>598</v>
      </c>
      <c r="E13" s="2" t="s">
        <v>621</v>
      </c>
      <c r="F13" s="2" t="s">
        <v>180</v>
      </c>
      <c r="G13" s="2" t="s">
        <v>599</v>
      </c>
      <c r="H13" s="2" t="s">
        <v>600</v>
      </c>
      <c r="I13" s="2" t="s">
        <v>185</v>
      </c>
      <c r="J13" s="2" t="s">
        <v>199</v>
      </c>
      <c r="K13" s="2" t="s">
        <v>192</v>
      </c>
      <c r="L13" s="73" t="s">
        <v>197</v>
      </c>
      <c r="M13" s="2" t="s">
        <v>181</v>
      </c>
      <c r="N13" s="2" t="s">
        <v>181</v>
      </c>
      <c r="O13" s="2" t="s">
        <v>181</v>
      </c>
      <c r="P13" s="2" t="s">
        <v>238</v>
      </c>
      <c r="Q13" s="2" t="s">
        <v>200</v>
      </c>
      <c r="R13" s="2" t="s">
        <v>601</v>
      </c>
      <c r="S13" s="2" t="s">
        <v>202</v>
      </c>
      <c r="T13" s="2"/>
      <c r="U13" s="2"/>
      <c r="V13"/>
    </row>
    <row r="14" spans="1:36" s="31" customFormat="1" ht="15.5" x14ac:dyDescent="0.35">
      <c r="A14" s="2" t="s">
        <v>155</v>
      </c>
      <c r="B14" s="2" t="s">
        <v>599</v>
      </c>
      <c r="C14" s="2" t="s">
        <v>600</v>
      </c>
      <c r="D14" s="2" t="s">
        <v>602</v>
      </c>
      <c r="E14" s="2" t="s">
        <v>603</v>
      </c>
      <c r="F14" s="2" t="s">
        <v>602</v>
      </c>
      <c r="G14" s="2" t="s">
        <v>197</v>
      </c>
      <c r="H14" s="2" t="s">
        <v>197</v>
      </c>
      <c r="I14" s="2" t="s">
        <v>197</v>
      </c>
      <c r="J14" s="2" t="s">
        <v>602</v>
      </c>
      <c r="K14" s="73" t="s">
        <v>197</v>
      </c>
      <c r="L14" s="2" t="s">
        <v>604</v>
      </c>
      <c r="M14" s="2" t="s">
        <v>605</v>
      </c>
      <c r="N14" s="2" t="s">
        <v>605</v>
      </c>
      <c r="O14" s="2" t="s">
        <v>605</v>
      </c>
      <c r="P14" s="2" t="s">
        <v>606</v>
      </c>
      <c r="Q14" s="2" t="s">
        <v>209</v>
      </c>
      <c r="R14" s="2" t="s">
        <v>607</v>
      </c>
      <c r="S14" s="2" t="s">
        <v>608</v>
      </c>
      <c r="T14" s="2"/>
      <c r="U14" s="2"/>
      <c r="V14" s="2" t="s">
        <v>226</v>
      </c>
    </row>
    <row r="15" spans="1:36" s="31" customFormat="1" ht="15.5" x14ac:dyDescent="0.35">
      <c r="A15" s="2"/>
      <c r="B15" s="2" t="s">
        <v>609</v>
      </c>
      <c r="C15" s="2" t="s">
        <v>609</v>
      </c>
      <c r="D15" s="2" t="s">
        <v>609</v>
      </c>
      <c r="E15" s="2" t="s">
        <v>609</v>
      </c>
      <c r="F15" s="2" t="s">
        <v>609</v>
      </c>
      <c r="G15" s="2" t="s">
        <v>610</v>
      </c>
      <c r="H15" s="2" t="s">
        <v>610</v>
      </c>
      <c r="I15" s="2" t="s">
        <v>610</v>
      </c>
      <c r="J15" s="2" t="s">
        <v>611</v>
      </c>
      <c r="K15" s="2" t="s">
        <v>612</v>
      </c>
      <c r="L15" s="2" t="s">
        <v>613</v>
      </c>
      <c r="M15" s="2" t="s">
        <v>614</v>
      </c>
      <c r="N15" s="2" t="s">
        <v>615</v>
      </c>
      <c r="O15" s="2" t="s">
        <v>616</v>
      </c>
      <c r="P15" s="2" t="s">
        <v>617</v>
      </c>
      <c r="Q15" s="2" t="s">
        <v>618</v>
      </c>
      <c r="R15" s="2" t="s">
        <v>619</v>
      </c>
      <c r="S15" s="2" t="s">
        <v>620</v>
      </c>
      <c r="T15" s="2"/>
      <c r="U15" s="2"/>
      <c r="V15" s="2" t="s">
        <v>205</v>
      </c>
    </row>
    <row r="16" spans="1:36" s="31" customFormat="1" ht="15.5" x14ac:dyDescent="0.35">
      <c r="A16"/>
      <c r="B16"/>
      <c r="C16"/>
      <c r="D16"/>
      <c r="E16"/>
      <c r="F16"/>
      <c r="G16"/>
      <c r="H16"/>
      <c r="I16"/>
      <c r="J16"/>
      <c r="K16" s="2"/>
      <c r="L16"/>
      <c r="M16"/>
      <c r="N16"/>
      <c r="O16"/>
      <c r="P16" s="2"/>
      <c r="Q16" s="2"/>
      <c r="R16" s="2"/>
      <c r="S16" s="2"/>
      <c r="T16" s="2"/>
      <c r="U16" s="2"/>
      <c r="V16" s="2"/>
    </row>
    <row r="17" spans="1:26" s="31" customFormat="1" ht="15.5" hidden="1" x14ac:dyDescent="0.35">
      <c r="A17" s="5">
        <v>45474</v>
      </c>
      <c r="B17" s="74">
        <v>0</v>
      </c>
      <c r="C17" s="74">
        <v>0</v>
      </c>
      <c r="D17" s="74">
        <v>0</v>
      </c>
      <c r="E17" s="74"/>
      <c r="F17" s="74">
        <v>0</v>
      </c>
      <c r="G17" s="74">
        <v>0</v>
      </c>
      <c r="H17" s="75">
        <v>0</v>
      </c>
      <c r="I17" s="8">
        <v>0</v>
      </c>
      <c r="J17" s="8">
        <v>0</v>
      </c>
      <c r="K17" s="8">
        <v>0</v>
      </c>
      <c r="L17" s="8">
        <v>0</v>
      </c>
      <c r="M17" s="74">
        <v>0</v>
      </c>
      <c r="N17" s="74">
        <v>0</v>
      </c>
      <c r="O17" s="74">
        <v>0</v>
      </c>
      <c r="P17" s="76">
        <v>0</v>
      </c>
      <c r="Q17" s="76">
        <v>0</v>
      </c>
      <c r="R17" s="76">
        <v>0</v>
      </c>
      <c r="S17" s="77">
        <v>0</v>
      </c>
      <c r="T17" s="1"/>
      <c r="U17" s="1"/>
      <c r="V17" s="78">
        <v>0</v>
      </c>
      <c r="Z17" s="38"/>
    </row>
    <row r="18" spans="1:26" s="31" customFormat="1" ht="15.5" hidden="1" x14ac:dyDescent="0.35">
      <c r="A18" s="5">
        <v>45505</v>
      </c>
      <c r="B18" s="75">
        <v>0</v>
      </c>
      <c r="C18" s="75">
        <v>0</v>
      </c>
      <c r="D18" s="75">
        <v>0</v>
      </c>
      <c r="E18" s="75"/>
      <c r="F18" s="74">
        <v>0</v>
      </c>
      <c r="G18" s="75">
        <v>0</v>
      </c>
      <c r="H18" s="75">
        <v>0</v>
      </c>
      <c r="I18" s="75">
        <v>0</v>
      </c>
      <c r="J18" s="8">
        <v>0</v>
      </c>
      <c r="K18" s="8">
        <v>0</v>
      </c>
      <c r="L18" s="8">
        <v>0</v>
      </c>
      <c r="M18" s="75">
        <v>0</v>
      </c>
      <c r="N18" s="75">
        <v>0</v>
      </c>
      <c r="O18" s="75">
        <v>0</v>
      </c>
      <c r="P18" s="78">
        <v>0</v>
      </c>
      <c r="Q18" s="78">
        <v>0</v>
      </c>
      <c r="R18" s="78">
        <v>0</v>
      </c>
      <c r="S18" s="78">
        <v>0</v>
      </c>
      <c r="T18" s="1"/>
      <c r="U18" s="1"/>
      <c r="V18" s="78">
        <v>0</v>
      </c>
      <c r="Z18" s="38"/>
    </row>
    <row r="19" spans="1:26" s="31" customFormat="1" ht="15.5" hidden="1" x14ac:dyDescent="0.35">
      <c r="A19" s="79">
        <v>45536</v>
      </c>
      <c r="B19" s="80">
        <v>0</v>
      </c>
      <c r="C19" s="80">
        <v>0</v>
      </c>
      <c r="D19" s="80">
        <v>0</v>
      </c>
      <c r="E19" s="80"/>
      <c r="F19" s="81">
        <v>0</v>
      </c>
      <c r="G19" s="80">
        <v>0</v>
      </c>
      <c r="H19" s="80">
        <v>0</v>
      </c>
      <c r="I19" s="80">
        <v>0</v>
      </c>
      <c r="J19" s="82">
        <v>0</v>
      </c>
      <c r="K19" s="82">
        <v>0</v>
      </c>
      <c r="L19" s="82">
        <v>0</v>
      </c>
      <c r="M19" s="80">
        <v>0</v>
      </c>
      <c r="N19" s="80">
        <v>0</v>
      </c>
      <c r="O19" s="80">
        <v>0</v>
      </c>
      <c r="P19" s="83">
        <v>0</v>
      </c>
      <c r="Q19" s="83">
        <v>0</v>
      </c>
      <c r="R19" s="83">
        <v>0</v>
      </c>
      <c r="S19" s="83">
        <v>0</v>
      </c>
      <c r="T19" s="1"/>
      <c r="U19" s="1"/>
      <c r="V19" s="83">
        <v>0</v>
      </c>
      <c r="Z19" s="38"/>
    </row>
    <row r="20" spans="1:26" s="31" customFormat="1" ht="15.5" hidden="1" x14ac:dyDescent="0.35">
      <c r="A20" s="5">
        <v>45566</v>
      </c>
      <c r="B20" s="75">
        <v>0</v>
      </c>
      <c r="C20" s="75">
        <v>0</v>
      </c>
      <c r="D20" s="75">
        <v>0</v>
      </c>
      <c r="E20" s="75"/>
      <c r="F20" s="74">
        <v>0</v>
      </c>
      <c r="G20" s="75">
        <v>0</v>
      </c>
      <c r="H20" s="75">
        <v>0</v>
      </c>
      <c r="I20" s="75">
        <v>0</v>
      </c>
      <c r="J20" s="8">
        <v>0</v>
      </c>
      <c r="K20" s="8">
        <v>0</v>
      </c>
      <c r="L20" s="8">
        <v>0</v>
      </c>
      <c r="M20" s="75">
        <v>0</v>
      </c>
      <c r="N20" s="75">
        <v>0</v>
      </c>
      <c r="O20" s="75">
        <v>0</v>
      </c>
      <c r="P20" s="78">
        <v>0</v>
      </c>
      <c r="Q20" s="78">
        <v>0</v>
      </c>
      <c r="R20" s="78">
        <v>0</v>
      </c>
      <c r="S20" s="78">
        <v>0</v>
      </c>
      <c r="T20" s="1"/>
      <c r="U20" s="1"/>
      <c r="V20" s="78">
        <v>0</v>
      </c>
      <c r="Z20" s="38"/>
    </row>
    <row r="21" spans="1:26" s="31" customFormat="1" ht="15.5" hidden="1" x14ac:dyDescent="0.35">
      <c r="A21" s="5">
        <v>45597</v>
      </c>
      <c r="B21" s="75">
        <v>0</v>
      </c>
      <c r="C21" s="75">
        <v>0</v>
      </c>
      <c r="D21" s="75">
        <v>0</v>
      </c>
      <c r="E21" s="75"/>
      <c r="F21" s="74">
        <v>0</v>
      </c>
      <c r="G21" s="75">
        <v>0</v>
      </c>
      <c r="H21" s="75">
        <v>0</v>
      </c>
      <c r="I21" s="75">
        <v>0</v>
      </c>
      <c r="J21" s="8">
        <v>0</v>
      </c>
      <c r="K21" s="8">
        <v>0</v>
      </c>
      <c r="L21" s="8">
        <v>0</v>
      </c>
      <c r="M21" s="75">
        <v>0</v>
      </c>
      <c r="N21" s="75">
        <v>0</v>
      </c>
      <c r="O21" s="75">
        <v>0</v>
      </c>
      <c r="P21" s="78">
        <v>0</v>
      </c>
      <c r="Q21" s="78">
        <v>0</v>
      </c>
      <c r="R21" s="78">
        <v>0</v>
      </c>
      <c r="S21" s="78">
        <v>0</v>
      </c>
      <c r="T21" s="1"/>
      <c r="U21" s="1"/>
      <c r="V21" s="78">
        <v>0</v>
      </c>
      <c r="Z21" s="38"/>
    </row>
    <row r="22" spans="1:26" s="31" customFormat="1" ht="15.5" hidden="1" x14ac:dyDescent="0.35">
      <c r="A22" s="79">
        <v>45627</v>
      </c>
      <c r="B22" s="80">
        <v>0</v>
      </c>
      <c r="C22" s="80">
        <v>0</v>
      </c>
      <c r="D22" s="80">
        <v>0</v>
      </c>
      <c r="E22" s="80"/>
      <c r="F22" s="81">
        <v>0</v>
      </c>
      <c r="G22" s="80">
        <v>0</v>
      </c>
      <c r="H22" s="80">
        <v>0</v>
      </c>
      <c r="I22" s="80">
        <v>0</v>
      </c>
      <c r="J22" s="82">
        <v>0</v>
      </c>
      <c r="K22" s="82">
        <v>0</v>
      </c>
      <c r="L22" s="82">
        <v>0</v>
      </c>
      <c r="M22" s="80">
        <v>0</v>
      </c>
      <c r="N22" s="80">
        <v>0</v>
      </c>
      <c r="O22" s="80">
        <v>0</v>
      </c>
      <c r="P22" s="83">
        <v>0</v>
      </c>
      <c r="Q22" s="83">
        <v>0</v>
      </c>
      <c r="R22" s="83">
        <v>0</v>
      </c>
      <c r="S22" s="83">
        <v>0</v>
      </c>
      <c r="T22" s="1"/>
      <c r="U22" s="1"/>
      <c r="V22" s="83">
        <v>0</v>
      </c>
      <c r="Z22" s="38"/>
    </row>
    <row r="23" spans="1:26" s="31" customFormat="1" ht="15.5" x14ac:dyDescent="0.35">
      <c r="A23" s="97">
        <v>45658</v>
      </c>
      <c r="B23" s="55">
        <v>17370174.668292839</v>
      </c>
      <c r="C23" s="55">
        <v>6212274.5850696443</v>
      </c>
      <c r="D23" s="55">
        <v>23582449.253362484</v>
      </c>
      <c r="E23" s="55">
        <v>2746583.6020700559</v>
      </c>
      <c r="F23" s="55">
        <v>26329032.85543254</v>
      </c>
      <c r="G23" s="55">
        <v>144751.455569107</v>
      </c>
      <c r="H23" s="55">
        <v>51768.95487558037</v>
      </c>
      <c r="I23" s="55">
        <v>196520.41044468735</v>
      </c>
      <c r="J23" s="55">
        <v>26132512.444987852</v>
      </c>
      <c r="K23" s="55">
        <v>26329032.85543254</v>
      </c>
      <c r="L23" s="55">
        <v>2943104.012514743</v>
      </c>
      <c r="M23" s="55">
        <v>6573784.5977441929</v>
      </c>
      <c r="N23" s="55">
        <v>0</v>
      </c>
      <c r="O23" s="55">
        <v>6573784.5977441929</v>
      </c>
      <c r="P23" s="98">
        <v>19558727.847243659</v>
      </c>
      <c r="Q23" s="98">
        <v>152190.79719940084</v>
      </c>
      <c r="R23" s="98">
        <v>1319174.6101382643</v>
      </c>
      <c r="S23" s="98">
        <v>1667885.8177823524</v>
      </c>
      <c r="T23" s="1"/>
      <c r="U23" s="1"/>
      <c r="V23" s="78">
        <v>40230.751522704326</v>
      </c>
      <c r="Z23" s="38"/>
    </row>
    <row r="24" spans="1:26" s="31" customFormat="1" ht="15.5" x14ac:dyDescent="0.35">
      <c r="A24" s="97">
        <v>45689</v>
      </c>
      <c r="B24" s="56">
        <v>17370174.668292839</v>
      </c>
      <c r="C24" s="56">
        <v>6212274.5850696443</v>
      </c>
      <c r="D24" s="56">
        <v>23582449.253362484</v>
      </c>
      <c r="E24" s="56">
        <v>5447390.8107722783</v>
      </c>
      <c r="F24" s="55">
        <v>52612289.317497246</v>
      </c>
      <c r="G24" s="56">
        <v>289502.911138214</v>
      </c>
      <c r="H24" s="56">
        <v>103537.90975116074</v>
      </c>
      <c r="I24" s="56">
        <v>589561.23133406206</v>
      </c>
      <c r="J24" s="99">
        <v>52022728.086163186</v>
      </c>
      <c r="K24" s="99">
        <v>29029840.064134762</v>
      </c>
      <c r="L24" s="99">
        <v>5840431.6316616535</v>
      </c>
      <c r="M24" s="56">
        <v>6518542.7103681909</v>
      </c>
      <c r="N24" s="56">
        <v>6573784.5977441929</v>
      </c>
      <c r="O24" s="56">
        <v>13092327.308112383</v>
      </c>
      <c r="P24" s="100">
        <v>38930400.778050803</v>
      </c>
      <c r="Q24" s="100">
        <v>302926.07862728112</v>
      </c>
      <c r="R24" s="100">
        <v>1319174.6101382643</v>
      </c>
      <c r="S24" s="100">
        <v>2015141.5096549201</v>
      </c>
      <c r="T24" s="1"/>
      <c r="U24" s="1"/>
      <c r="V24" s="78">
        <v>80076.745921988782</v>
      </c>
      <c r="Z24" s="38"/>
    </row>
    <row r="25" spans="1:26" s="31" customFormat="1" ht="15.5" x14ac:dyDescent="0.35">
      <c r="A25" s="101">
        <v>45717</v>
      </c>
      <c r="B25" s="102">
        <v>17370174.668292839</v>
      </c>
      <c r="C25" s="102">
        <v>6212274.5850696443</v>
      </c>
      <c r="D25" s="102">
        <v>23582449.253362484</v>
      </c>
      <c r="E25" s="102">
        <v>8102421.6261066664</v>
      </c>
      <c r="F25" s="103">
        <v>78849769.386194125</v>
      </c>
      <c r="G25" s="102">
        <v>434254.36670732097</v>
      </c>
      <c r="H25" s="102">
        <v>155306.86462674109</v>
      </c>
      <c r="I25" s="102">
        <v>1179122.4626681241</v>
      </c>
      <c r="J25" s="104">
        <v>77670646.923525989</v>
      </c>
      <c r="K25" s="104">
        <v>31684870.879469149</v>
      </c>
      <c r="L25" s="104">
        <v>8691982.8574407287</v>
      </c>
      <c r="M25" s="102">
        <v>6463300.8229921889</v>
      </c>
      <c r="N25" s="102">
        <v>13092327.308112383</v>
      </c>
      <c r="O25" s="102">
        <v>19555628.131104574</v>
      </c>
      <c r="P25" s="105">
        <v>58115018.792421415</v>
      </c>
      <c r="Q25" s="105">
        <v>452205.84428364085</v>
      </c>
      <c r="R25" s="105">
        <v>1319174.6101382643</v>
      </c>
      <c r="S25" s="105">
        <v>2360941.6857559672</v>
      </c>
      <c r="T25" s="1"/>
      <c r="U25" s="1"/>
      <c r="V25" s="83">
        <v>119537.98319785332</v>
      </c>
      <c r="Z25" s="38"/>
    </row>
    <row r="26" spans="1:26" s="31" customFormat="1" ht="15.5" x14ac:dyDescent="0.35">
      <c r="A26" s="97">
        <v>45748</v>
      </c>
      <c r="B26" s="56">
        <v>17370174.668292839</v>
      </c>
      <c r="C26" s="56">
        <v>6212274.5850696443</v>
      </c>
      <c r="D26" s="56">
        <v>23582449.253362484</v>
      </c>
      <c r="E26" s="56">
        <v>10711676.048073221</v>
      </c>
      <c r="F26" s="55">
        <v>105041473.06152315</v>
      </c>
      <c r="G26" s="56">
        <v>579005.82227642799</v>
      </c>
      <c r="H26" s="56">
        <v>207075.81950232148</v>
      </c>
      <c r="I26" s="56">
        <v>1965204.1044468735</v>
      </c>
      <c r="J26" s="99">
        <v>103076268.95707627</v>
      </c>
      <c r="K26" s="99">
        <v>34294125.301435709</v>
      </c>
      <c r="L26" s="99">
        <v>11497757.689851969</v>
      </c>
      <c r="M26" s="56">
        <v>6408058.9356161896</v>
      </c>
      <c r="N26" s="56">
        <v>19555628.131104574</v>
      </c>
      <c r="O26" s="56">
        <v>25963687.066720761</v>
      </c>
      <c r="P26" s="100">
        <v>77112581.890355498</v>
      </c>
      <c r="Q26" s="100">
        <v>600030.0941684799</v>
      </c>
      <c r="R26" s="100">
        <v>1319174.6101382643</v>
      </c>
      <c r="S26" s="100">
        <v>2705286.3460854935</v>
      </c>
      <c r="T26" s="1"/>
      <c r="U26" s="1"/>
      <c r="V26" s="78">
        <v>158614.46335029797</v>
      </c>
      <c r="Z26" s="38"/>
    </row>
    <row r="27" spans="1:26" s="31" customFormat="1" ht="15.5" x14ac:dyDescent="0.35">
      <c r="A27" s="97">
        <v>45778</v>
      </c>
      <c r="B27" s="56">
        <v>17370174.668292839</v>
      </c>
      <c r="C27" s="56">
        <v>6212274.5850696443</v>
      </c>
      <c r="D27" s="56">
        <v>23582449.253362484</v>
      </c>
      <c r="E27" s="56">
        <v>13275154.076671937</v>
      </c>
      <c r="F27" s="55">
        <v>131187400.34348436</v>
      </c>
      <c r="G27" s="56">
        <v>723757.27784553496</v>
      </c>
      <c r="H27" s="56">
        <v>258844.77437790186</v>
      </c>
      <c r="I27" s="56">
        <v>2947806.1566703105</v>
      </c>
      <c r="J27" s="99">
        <v>128239594.18681403</v>
      </c>
      <c r="K27" s="99">
        <v>36857603.33003442</v>
      </c>
      <c r="L27" s="99">
        <v>14257756.128895374</v>
      </c>
      <c r="M27" s="56">
        <v>6352817.0482401866</v>
      </c>
      <c r="N27" s="56">
        <v>25963687.066720761</v>
      </c>
      <c r="O27" s="56">
        <v>32316504.114960946</v>
      </c>
      <c r="P27" s="100">
        <v>95923090.071853071</v>
      </c>
      <c r="Q27" s="100">
        <v>746398.82828179852</v>
      </c>
      <c r="R27" s="100">
        <v>1319174.6101382643</v>
      </c>
      <c r="S27" s="100">
        <v>3048175.4906434994</v>
      </c>
      <c r="T27" s="1"/>
      <c r="U27" s="1"/>
      <c r="V27" s="78">
        <v>197306.18637932275</v>
      </c>
      <c r="Z27" s="38"/>
    </row>
    <row r="28" spans="1:26" s="31" customFormat="1" ht="15.5" x14ac:dyDescent="0.35">
      <c r="A28" s="101">
        <v>45809</v>
      </c>
      <c r="B28" s="102">
        <v>17370174.668292839</v>
      </c>
      <c r="C28" s="102">
        <v>6212274.5850696443</v>
      </c>
      <c r="D28" s="102">
        <v>23582449.253362484</v>
      </c>
      <c r="E28" s="102">
        <v>15792855.71190282</v>
      </c>
      <c r="F28" s="103">
        <v>157287551.23207772</v>
      </c>
      <c r="G28" s="102">
        <v>868508.73341464193</v>
      </c>
      <c r="H28" s="102">
        <v>310613.72925348219</v>
      </c>
      <c r="I28" s="102">
        <v>4126928.6193384347</v>
      </c>
      <c r="J28" s="104">
        <v>153160622.61273929</v>
      </c>
      <c r="K28" s="104">
        <v>39375304.965265304</v>
      </c>
      <c r="L28" s="104">
        <v>16971978.174570944</v>
      </c>
      <c r="M28" s="102">
        <v>6297575.1608641846</v>
      </c>
      <c r="N28" s="102">
        <v>32316504.114960946</v>
      </c>
      <c r="O28" s="102">
        <v>38614079.275825128</v>
      </c>
      <c r="P28" s="105">
        <v>114546543.33691417</v>
      </c>
      <c r="Q28" s="105">
        <v>891312.04662359692</v>
      </c>
      <c r="R28" s="105">
        <v>1319174.6101382643</v>
      </c>
      <c r="S28" s="105">
        <v>3389609.1194299855</v>
      </c>
      <c r="T28" s="1"/>
      <c r="U28" s="1"/>
      <c r="V28" s="83">
        <v>235613.1522849277</v>
      </c>
      <c r="Z28" s="38"/>
    </row>
    <row r="29" spans="1:26" s="31" customFormat="1" ht="15.5" x14ac:dyDescent="0.35">
      <c r="A29" s="5">
        <v>45839</v>
      </c>
      <c r="B29" s="75">
        <v>18963414.79455173</v>
      </c>
      <c r="C29" s="75">
        <v>5993705.3806264773</v>
      </c>
      <c r="D29" s="75">
        <v>24957120.175178207</v>
      </c>
      <c r="E29" s="75">
        <v>18264780.953765877</v>
      </c>
      <c r="F29" s="74">
        <v>184716596.64911896</v>
      </c>
      <c r="G29" s="75">
        <v>1026537.1900359063</v>
      </c>
      <c r="H29" s="75">
        <v>360561.27409203618</v>
      </c>
      <c r="I29" s="75">
        <v>5514027.0834663771</v>
      </c>
      <c r="J29" s="8">
        <v>179202569.56565258</v>
      </c>
      <c r="K29" s="8">
        <v>43221901.128944084</v>
      </c>
      <c r="L29" s="8">
        <v>19651879.41789382</v>
      </c>
      <c r="M29" s="75">
        <v>6625533.10297623</v>
      </c>
      <c r="N29" s="75">
        <v>38614079.275825128</v>
      </c>
      <c r="O29" s="75">
        <v>45239612.378801361</v>
      </c>
      <c r="P29" s="78">
        <v>133962957.18685122</v>
      </c>
      <c r="Q29" s="78">
        <v>1042395.4670614882</v>
      </c>
      <c r="R29" s="78">
        <v>1363771.8372609136</v>
      </c>
      <c r="S29" s="78">
        <v>3793265.7684503444</v>
      </c>
      <c r="T29" s="1"/>
      <c r="U29" s="1"/>
      <c r="V29" s="78">
        <v>275551.1752054161</v>
      </c>
      <c r="Z29" s="38"/>
    </row>
    <row r="30" spans="1:26" s="31" customFormat="1" ht="15.5" x14ac:dyDescent="0.35">
      <c r="A30" s="5">
        <v>45870</v>
      </c>
      <c r="B30" s="75">
        <v>18963414.79455173</v>
      </c>
      <c r="C30" s="75">
        <v>5993705.3806264773</v>
      </c>
      <c r="D30" s="75">
        <v>24957120.175178207</v>
      </c>
      <c r="E30" s="75">
        <v>20690929.802261095</v>
      </c>
      <c r="F30" s="74">
        <v>212099865.67279238</v>
      </c>
      <c r="G30" s="75">
        <v>1184565.646657171</v>
      </c>
      <c r="H30" s="75">
        <v>410508.81893059018</v>
      </c>
      <c r="I30" s="75">
        <v>7109101.5490541384</v>
      </c>
      <c r="J30" s="8">
        <v>204990764.12373823</v>
      </c>
      <c r="K30" s="8">
        <v>45648049.977439299</v>
      </c>
      <c r="L30" s="8">
        <v>22286004.267848857</v>
      </c>
      <c r="M30" s="75">
        <v>6567071.0489658741</v>
      </c>
      <c r="N30" s="75">
        <v>45239612.378801361</v>
      </c>
      <c r="O30" s="75">
        <v>51806683.427767232</v>
      </c>
      <c r="P30" s="78">
        <v>153184080.69597101</v>
      </c>
      <c r="Q30" s="78">
        <v>1191959.2900651062</v>
      </c>
      <c r="R30" s="78">
        <v>1363771.8372609136</v>
      </c>
      <c r="S30" s="78">
        <v>4150805.5929137813</v>
      </c>
      <c r="T30" s="1"/>
      <c r="U30" s="1"/>
      <c r="V30" s="78">
        <v>315087.50138787716</v>
      </c>
      <c r="Z30" s="38"/>
    </row>
    <row r="31" spans="1:26" s="31" customFormat="1" ht="15.5" x14ac:dyDescent="0.35">
      <c r="A31" s="79">
        <v>45901</v>
      </c>
      <c r="B31" s="80">
        <v>18963414.79455173</v>
      </c>
      <c r="C31" s="80">
        <v>5993705.3806264773</v>
      </c>
      <c r="D31" s="80">
        <v>24957120.175178207</v>
      </c>
      <c r="E31" s="80">
        <v>23071302.257388469</v>
      </c>
      <c r="F31" s="81">
        <v>239437358.30309796</v>
      </c>
      <c r="G31" s="80">
        <v>1342594.1032784353</v>
      </c>
      <c r="H31" s="80">
        <v>460456.36376914411</v>
      </c>
      <c r="I31" s="80">
        <v>8912152.0161017179</v>
      </c>
      <c r="J31" s="82">
        <v>230525206.28699625</v>
      </c>
      <c r="K31" s="82">
        <v>48028422.432566673</v>
      </c>
      <c r="L31" s="82">
        <v>24874352.724436048</v>
      </c>
      <c r="M31" s="80">
        <v>6508608.9949555192</v>
      </c>
      <c r="N31" s="80">
        <v>51806683.427767232</v>
      </c>
      <c r="O31" s="80">
        <v>58315292.422722749</v>
      </c>
      <c r="P31" s="83">
        <v>172209913.86427349</v>
      </c>
      <c r="Q31" s="83">
        <v>1340003.5156344506</v>
      </c>
      <c r="R31" s="83">
        <v>1363771.8372609136</v>
      </c>
      <c r="S31" s="83">
        <v>4506825.8199429438</v>
      </c>
      <c r="T31" s="1"/>
      <c r="U31" s="1"/>
      <c r="V31" s="83">
        <v>354222.13083231071</v>
      </c>
      <c r="Z31" s="38"/>
    </row>
    <row r="32" spans="1:26" s="31" customFormat="1" ht="15.5" x14ac:dyDescent="0.35">
      <c r="A32" s="5">
        <v>45931</v>
      </c>
      <c r="B32" s="75">
        <v>18963414.79455173</v>
      </c>
      <c r="C32" s="75">
        <v>5993705.3806264773</v>
      </c>
      <c r="D32" s="75">
        <v>24957120.175178207</v>
      </c>
      <c r="E32" s="75">
        <v>25405898.319148023</v>
      </c>
      <c r="F32" s="74">
        <v>266729074.54003572</v>
      </c>
      <c r="G32" s="75">
        <v>1500622.5598996996</v>
      </c>
      <c r="H32" s="75">
        <v>510403.90860769816</v>
      </c>
      <c r="I32" s="75">
        <v>10923178.484609116</v>
      </c>
      <c r="J32" s="8">
        <v>255805896.0554266</v>
      </c>
      <c r="K32" s="8">
        <v>50363018.494326234</v>
      </c>
      <c r="L32" s="8">
        <v>27416924.787655421</v>
      </c>
      <c r="M32" s="75">
        <v>6450146.9409451662</v>
      </c>
      <c r="N32" s="75">
        <v>58315292.422722749</v>
      </c>
      <c r="O32" s="75">
        <v>64765439.363667913</v>
      </c>
      <c r="P32" s="78">
        <v>191040456.69175869</v>
      </c>
      <c r="Q32" s="78">
        <v>1486528.1437695215</v>
      </c>
      <c r="R32" s="78">
        <v>1363771.8372609136</v>
      </c>
      <c r="S32" s="78">
        <v>4861326.4495378332</v>
      </c>
      <c r="T32" s="1"/>
      <c r="U32" s="1"/>
      <c r="V32" s="78">
        <v>392955.0635387167</v>
      </c>
      <c r="Z32" s="38"/>
    </row>
    <row r="33" spans="1:26" s="31" customFormat="1" ht="15.5" x14ac:dyDescent="0.35">
      <c r="A33" s="5">
        <v>45962</v>
      </c>
      <c r="B33" s="75">
        <v>18963414.79455173</v>
      </c>
      <c r="C33" s="75">
        <v>5993705.3806264773</v>
      </c>
      <c r="D33" s="75">
        <v>24957120.175178207</v>
      </c>
      <c r="E33" s="75">
        <v>27694717.987539738</v>
      </c>
      <c r="F33" s="74">
        <v>293975014.3836056</v>
      </c>
      <c r="G33" s="75">
        <v>1658651.0165209642</v>
      </c>
      <c r="H33" s="75">
        <v>560351.45344625216</v>
      </c>
      <c r="I33" s="75">
        <v>13142180.954576332</v>
      </c>
      <c r="J33" s="8">
        <v>280832833.42902929</v>
      </c>
      <c r="K33" s="8">
        <v>52651838.162717946</v>
      </c>
      <c r="L33" s="8">
        <v>29913720.457506955</v>
      </c>
      <c r="M33" s="75">
        <v>6391684.8869348103</v>
      </c>
      <c r="N33" s="75">
        <v>64765439.363667913</v>
      </c>
      <c r="O33" s="75">
        <v>71157124.250602722</v>
      </c>
      <c r="P33" s="78">
        <v>209675709.17842656</v>
      </c>
      <c r="Q33" s="78">
        <v>1631533.1744703185</v>
      </c>
      <c r="R33" s="78">
        <v>1363771.8372609136</v>
      </c>
      <c r="S33" s="78">
        <v>5214307.4816984478</v>
      </c>
      <c r="T33" s="1"/>
      <c r="U33" s="1"/>
      <c r="V33" s="78">
        <v>431286.29950709525</v>
      </c>
      <c r="Z33" s="38"/>
    </row>
    <row r="34" spans="1:26" s="31" customFormat="1" ht="15.5" x14ac:dyDescent="0.35">
      <c r="A34" s="79">
        <v>45992</v>
      </c>
      <c r="B34" s="80">
        <v>18963414.79455173</v>
      </c>
      <c r="C34" s="80">
        <v>5993705.3806264773</v>
      </c>
      <c r="D34" s="80">
        <v>24957120.175178207</v>
      </c>
      <c r="E34" s="80">
        <v>29937761.262563609</v>
      </c>
      <c r="F34" s="81">
        <v>321175177.83380771</v>
      </c>
      <c r="G34" s="80">
        <v>1816679.4731422286</v>
      </c>
      <c r="H34" s="80">
        <v>610298.99828480603</v>
      </c>
      <c r="I34" s="80">
        <v>15569159.426003367</v>
      </c>
      <c r="J34" s="82">
        <v>305606018.40780437</v>
      </c>
      <c r="K34" s="82">
        <v>54894881.437741816</v>
      </c>
      <c r="L34" s="82">
        <v>32364739.733990643</v>
      </c>
      <c r="M34" s="80">
        <v>6333222.8329244554</v>
      </c>
      <c r="N34" s="80">
        <v>71157124.250602722</v>
      </c>
      <c r="O34" s="80">
        <v>77490347.083527178</v>
      </c>
      <c r="P34" s="83">
        <v>228115671.32427719</v>
      </c>
      <c r="Q34" s="83">
        <v>1775018.6077368422</v>
      </c>
      <c r="R34" s="83">
        <v>1363771.8372609136</v>
      </c>
      <c r="S34" s="83">
        <v>5565768.9164247904</v>
      </c>
      <c r="T34" s="1"/>
      <c r="U34" s="1"/>
      <c r="V34" s="83">
        <v>469215.83873744641</v>
      </c>
      <c r="Z34" s="38"/>
    </row>
    <row r="35" spans="1:26" s="31" customFormat="1" ht="15.5" x14ac:dyDescent="0.35">
      <c r="A35" s="5">
        <v>46023</v>
      </c>
      <c r="B35" s="75">
        <v>18963414.79455173</v>
      </c>
      <c r="C35" s="75">
        <v>5993705.3806264773</v>
      </c>
      <c r="D35" s="75">
        <v>24957120.175178207</v>
      </c>
      <c r="E35" s="75">
        <v>35343505.649973646</v>
      </c>
      <c r="F35" s="74">
        <v>351538042.39639598</v>
      </c>
      <c r="G35" s="75">
        <v>1974707.9297634929</v>
      </c>
      <c r="H35" s="75">
        <v>660246.54312336002</v>
      </c>
      <c r="I35" s="75">
        <v>18204113.89889022</v>
      </c>
      <c r="J35" s="8">
        <v>333333928.49750578</v>
      </c>
      <c r="K35" s="8">
        <v>60300625.825151853</v>
      </c>
      <c r="L35" s="8">
        <v>37978460.122860499</v>
      </c>
      <c r="M35" s="75">
        <v>6274760.7789141005</v>
      </c>
      <c r="N35" s="75">
        <v>77490347.083527178</v>
      </c>
      <c r="O35" s="75">
        <v>83765107.862441272</v>
      </c>
      <c r="P35" s="78">
        <v>249568820.63506451</v>
      </c>
      <c r="Q35" s="78">
        <v>1941950.3183034179</v>
      </c>
      <c r="R35" s="78">
        <v>1363771.8372609136</v>
      </c>
      <c r="S35" s="78">
        <v>5940676.6284511844</v>
      </c>
      <c r="T35" s="1"/>
      <c r="U35" s="1"/>
      <c r="V35" s="78">
        <v>513343.26491989061</v>
      </c>
      <c r="Z35" s="38"/>
    </row>
    <row r="36" spans="1:26" s="31" customFormat="1" ht="15.5" x14ac:dyDescent="0.35">
      <c r="A36" s="5">
        <v>46054</v>
      </c>
      <c r="B36" s="75">
        <v>18963414.79455173</v>
      </c>
      <c r="C36" s="75">
        <v>5993705.3806264773</v>
      </c>
      <c r="D36" s="75">
        <v>24957120.175178207</v>
      </c>
      <c r="E36" s="75">
        <v>40649999.01891996</v>
      </c>
      <c r="F36" s="74">
        <v>381801655.94052052</v>
      </c>
      <c r="G36" s="75">
        <v>2132736.3863847572</v>
      </c>
      <c r="H36" s="75">
        <v>710194.0879619139</v>
      </c>
      <c r="I36" s="75">
        <v>21047044.373236887</v>
      </c>
      <c r="J36" s="8">
        <v>360754611.56728363</v>
      </c>
      <c r="K36" s="8">
        <v>65607119.194098167</v>
      </c>
      <c r="L36" s="8">
        <v>43492929.493266627</v>
      </c>
      <c r="M36" s="75">
        <v>6216298.7249037465</v>
      </c>
      <c r="N36" s="75">
        <v>83765107.862441272</v>
      </c>
      <c r="O36" s="75">
        <v>89981406.587345019</v>
      </c>
      <c r="P36" s="78">
        <v>270773204.97993863</v>
      </c>
      <c r="Q36" s="78">
        <v>2106946.3335234807</v>
      </c>
      <c r="R36" s="78">
        <v>1363771.8372609136</v>
      </c>
      <c r="S36" s="78">
        <v>6313648.6451310655</v>
      </c>
      <c r="T36" s="1"/>
      <c r="U36" s="1"/>
      <c r="V36" s="78">
        <v>556959.00130280538</v>
      </c>
      <c r="Z36" s="38"/>
    </row>
    <row r="37" spans="1:26" s="31" customFormat="1" ht="15.5" x14ac:dyDescent="0.35">
      <c r="A37" s="79">
        <v>46082</v>
      </c>
      <c r="B37" s="80">
        <v>18963414.79455173</v>
      </c>
      <c r="C37" s="80">
        <v>5993705.3806264773</v>
      </c>
      <c r="D37" s="80">
        <v>24957120.175178207</v>
      </c>
      <c r="E37" s="80">
        <v>45857241.36940252</v>
      </c>
      <c r="F37" s="81">
        <v>411966018.46618134</v>
      </c>
      <c r="G37" s="80">
        <v>2290764.8430060218</v>
      </c>
      <c r="H37" s="80">
        <v>760141.63280046778</v>
      </c>
      <c r="I37" s="80">
        <v>24097950.849043377</v>
      </c>
      <c r="J37" s="82">
        <v>387868067.61713797</v>
      </c>
      <c r="K37" s="82">
        <v>70814361.544580728</v>
      </c>
      <c r="L37" s="82">
        <v>48908147.84520901</v>
      </c>
      <c r="M37" s="80">
        <v>6157836.6708933907</v>
      </c>
      <c r="N37" s="80">
        <v>89981406.587345019</v>
      </c>
      <c r="O37" s="80">
        <v>96139243.258238405</v>
      </c>
      <c r="P37" s="83">
        <v>291728824.35889959</v>
      </c>
      <c r="Q37" s="83">
        <v>2270006.6533970321</v>
      </c>
      <c r="R37" s="83">
        <v>1363771.8372609136</v>
      </c>
      <c r="S37" s="83">
        <v>6684684.9664644357</v>
      </c>
      <c r="T37" s="1"/>
      <c r="U37" s="1"/>
      <c r="V37" s="83">
        <v>600063.04788619059</v>
      </c>
      <c r="Z37" s="38"/>
    </row>
    <row r="38" spans="1:26" s="31" customFormat="1" ht="15.5" x14ac:dyDescent="0.35">
      <c r="A38" s="5">
        <v>46113</v>
      </c>
      <c r="B38" s="75">
        <v>18963414.79455173</v>
      </c>
      <c r="C38" s="75">
        <v>5993705.3806264773</v>
      </c>
      <c r="D38" s="75">
        <v>24957120.175178207</v>
      </c>
      <c r="E38" s="75">
        <v>50965232.70142138</v>
      </c>
      <c r="F38" s="74">
        <v>442031129.97337842</v>
      </c>
      <c r="G38" s="75">
        <v>2448793.2996272864</v>
      </c>
      <c r="H38" s="75">
        <v>810089.17763902177</v>
      </c>
      <c r="I38" s="75">
        <v>27356833.326309685</v>
      </c>
      <c r="J38" s="8">
        <v>414674296.64706874</v>
      </c>
      <c r="K38" s="8">
        <v>75922352.87659958</v>
      </c>
      <c r="L38" s="8">
        <v>54224115.178687692</v>
      </c>
      <c r="M38" s="75">
        <v>6099374.616883032</v>
      </c>
      <c r="N38" s="75">
        <v>96139243.258238405</v>
      </c>
      <c r="O38" s="75">
        <v>102238617.87512144</v>
      </c>
      <c r="P38" s="78">
        <v>312435678.77194726</v>
      </c>
      <c r="Q38" s="78">
        <v>2431131.2779240701</v>
      </c>
      <c r="R38" s="78">
        <v>1363771.8372609136</v>
      </c>
      <c r="S38" s="78">
        <v>7053785.5924512912</v>
      </c>
      <c r="T38" s="1"/>
      <c r="U38" s="1"/>
      <c r="V38" s="78">
        <v>642655.40467004629</v>
      </c>
      <c r="Z38" s="38"/>
    </row>
    <row r="39" spans="1:26" s="31" customFormat="1" ht="15.5" x14ac:dyDescent="0.35">
      <c r="A39" s="5">
        <v>46143</v>
      </c>
      <c r="B39" s="75">
        <v>18963414.79455173</v>
      </c>
      <c r="C39" s="75">
        <v>5993705.3806264773</v>
      </c>
      <c r="D39" s="75">
        <v>24957120.175178207</v>
      </c>
      <c r="E39" s="75">
        <v>55973973.014976479</v>
      </c>
      <c r="F39" s="74">
        <v>471996990.46211177</v>
      </c>
      <c r="G39" s="75">
        <v>2606821.7562485505</v>
      </c>
      <c r="H39" s="75">
        <v>860036.72247757553</v>
      </c>
      <c r="I39" s="75">
        <v>30823691.805035811</v>
      </c>
      <c r="J39" s="8">
        <v>441173298.65707594</v>
      </c>
      <c r="K39" s="8">
        <v>80931093.190154687</v>
      </c>
      <c r="L39" s="8">
        <v>59440831.493702605</v>
      </c>
      <c r="M39" s="75">
        <v>6040912.5628726808</v>
      </c>
      <c r="N39" s="75">
        <v>102238617.87512144</v>
      </c>
      <c r="O39" s="75">
        <v>108279530.43799412</v>
      </c>
      <c r="P39" s="78">
        <v>332893768.21908182</v>
      </c>
      <c r="Q39" s="78">
        <v>2590320.2071045963</v>
      </c>
      <c r="R39" s="78">
        <v>1363771.8372609136</v>
      </c>
      <c r="S39" s="78">
        <v>7420950.5230916366</v>
      </c>
      <c r="T39" s="1"/>
      <c r="U39" s="1"/>
      <c r="V39" s="78">
        <v>684736.0716543725</v>
      </c>
      <c r="Z39" s="38"/>
    </row>
    <row r="40" spans="1:26" s="31" customFormat="1" ht="15.5" x14ac:dyDescent="0.35">
      <c r="A40" s="79">
        <v>46174</v>
      </c>
      <c r="B40" s="80">
        <v>18963414.79455173</v>
      </c>
      <c r="C40" s="80">
        <v>5993705.3806264773</v>
      </c>
      <c r="D40" s="80">
        <v>24957120.175178207</v>
      </c>
      <c r="E40" s="80">
        <v>60883462.310067855</v>
      </c>
      <c r="F40" s="81">
        <v>501863599.93238133</v>
      </c>
      <c r="G40" s="80">
        <v>2764850.2128698151</v>
      </c>
      <c r="H40" s="80">
        <v>909984.26731612964</v>
      </c>
      <c r="I40" s="80">
        <v>34498526.285221756</v>
      </c>
      <c r="J40" s="82">
        <v>467365073.64715958</v>
      </c>
      <c r="K40" s="82">
        <v>85840582.485246062</v>
      </c>
      <c r="L40" s="82">
        <v>64558296.790253803</v>
      </c>
      <c r="M40" s="80">
        <v>5982450.5088623241</v>
      </c>
      <c r="N40" s="80">
        <v>108279530.43799412</v>
      </c>
      <c r="O40" s="80">
        <v>114261980.94685644</v>
      </c>
      <c r="P40" s="83">
        <v>353103092.70030314</v>
      </c>
      <c r="Q40" s="83">
        <v>2747573.4409386097</v>
      </c>
      <c r="R40" s="83">
        <v>1363771.8372609136</v>
      </c>
      <c r="S40" s="83">
        <v>7786179.7583854683</v>
      </c>
      <c r="T40" s="1"/>
      <c r="U40" s="1"/>
      <c r="V40" s="83">
        <v>726305.04883916921</v>
      </c>
      <c r="Z40" s="38"/>
    </row>
    <row r="41" spans="1:26" s="31" customFormat="1" ht="15.5" x14ac:dyDescent="0.35">
      <c r="A41" s="5">
        <v>46204</v>
      </c>
      <c r="B41" s="75">
        <v>19310789.464671493</v>
      </c>
      <c r="C41" s="75">
        <v>6155987.3476841552</v>
      </c>
      <c r="D41" s="75">
        <v>25466776.812355649</v>
      </c>
      <c r="E41" s="75">
        <v>65693700.586695477</v>
      </c>
      <c r="F41" s="74">
        <v>532140615.02136463</v>
      </c>
      <c r="G41" s="75">
        <v>2925773.4584087441</v>
      </c>
      <c r="H41" s="75">
        <v>961284.16188016417</v>
      </c>
      <c r="I41" s="75">
        <v>38385583.905510664</v>
      </c>
      <c r="J41" s="8">
        <v>493755031.11585397</v>
      </c>
      <c r="K41" s="8">
        <v>91160477.39905113</v>
      </c>
      <c r="L41" s="8">
        <v>69580758.206984386</v>
      </c>
      <c r="M41" s="75">
        <v>6066059.0648899619</v>
      </c>
      <c r="N41" s="75">
        <v>114261980.94685644</v>
      </c>
      <c r="O41" s="75">
        <v>120328040.01174641</v>
      </c>
      <c r="P41" s="78">
        <v>373426991.10410756</v>
      </c>
      <c r="Q41" s="78">
        <v>2905718.1998632308</v>
      </c>
      <c r="R41" s="78">
        <v>1383664.4317045601</v>
      </c>
      <c r="S41" s="78">
        <v>8176440.2518566996</v>
      </c>
      <c r="T41" s="1"/>
      <c r="U41" s="1"/>
      <c r="V41" s="78">
        <v>768109.69549318822</v>
      </c>
      <c r="Z41" s="38"/>
    </row>
    <row r="42" spans="1:26" s="31" customFormat="1" ht="15.5" x14ac:dyDescent="0.35">
      <c r="A42" s="5">
        <v>46235</v>
      </c>
      <c r="B42" s="75">
        <v>19310789.464671493</v>
      </c>
      <c r="C42" s="75">
        <v>6155987.3476841552</v>
      </c>
      <c r="D42" s="75">
        <v>25466776.812355649</v>
      </c>
      <c r="E42" s="75">
        <v>70404687.844859391</v>
      </c>
      <c r="F42" s="74">
        <v>562318379.09188414</v>
      </c>
      <c r="G42" s="75">
        <v>3086696.7039476736</v>
      </c>
      <c r="H42" s="75">
        <v>1012584.0564441988</v>
      </c>
      <c r="I42" s="75">
        <v>42484864.665902533</v>
      </c>
      <c r="J42" s="8">
        <v>519833514.42598164</v>
      </c>
      <c r="K42" s="8">
        <v>95871464.657215044</v>
      </c>
      <c r="L42" s="8">
        <v>74503968.605251268</v>
      </c>
      <c r="M42" s="75">
        <v>6006403.1402070178</v>
      </c>
      <c r="N42" s="75">
        <v>120328040.01174641</v>
      </c>
      <c r="O42" s="75">
        <v>126334443.15195343</v>
      </c>
      <c r="P42" s="78">
        <v>393499071.27402818</v>
      </c>
      <c r="Q42" s="78">
        <v>3061903.5052864058</v>
      </c>
      <c r="R42" s="78">
        <v>1383664.4317045601</v>
      </c>
      <c r="S42" s="78">
        <v>8544848.6973828375</v>
      </c>
      <c r="T42" s="1"/>
      <c r="U42" s="1"/>
      <c r="V42" s="78">
        <v>809396.37201768823</v>
      </c>
      <c r="Z42" s="38"/>
    </row>
    <row r="43" spans="1:26" s="31" customFormat="1" ht="15.5" x14ac:dyDescent="0.35">
      <c r="A43" s="79">
        <v>46266</v>
      </c>
      <c r="B43" s="80">
        <v>19310789.464671493</v>
      </c>
      <c r="C43" s="80">
        <v>6155987.3476841552</v>
      </c>
      <c r="D43" s="80">
        <v>25466776.812355649</v>
      </c>
      <c r="E43" s="80">
        <v>75016424.084559545</v>
      </c>
      <c r="F43" s="81">
        <v>592396892.14393997</v>
      </c>
      <c r="G43" s="80">
        <v>3247619.9494866026</v>
      </c>
      <c r="H43" s="80">
        <v>1063883.9510082337</v>
      </c>
      <c r="I43" s="80">
        <v>46796368.566397369</v>
      </c>
      <c r="J43" s="82">
        <v>545600523.57754254</v>
      </c>
      <c r="K43" s="82">
        <v>100483200.8969152</v>
      </c>
      <c r="L43" s="82">
        <v>79327927.985054374</v>
      </c>
      <c r="M43" s="80">
        <v>5946747.2155240774</v>
      </c>
      <c r="N43" s="80">
        <v>126334443.15195343</v>
      </c>
      <c r="O43" s="80">
        <v>132281190.36747751</v>
      </c>
      <c r="P43" s="83">
        <v>413319333.21006501</v>
      </c>
      <c r="Q43" s="83">
        <v>3216129.3572081341</v>
      </c>
      <c r="R43" s="83">
        <v>1383664.4317045601</v>
      </c>
      <c r="S43" s="83">
        <v>8911297.6894075312</v>
      </c>
      <c r="T43" s="1"/>
      <c r="U43" s="1"/>
      <c r="V43" s="83">
        <v>850165.07841266913</v>
      </c>
      <c r="Z43" s="38"/>
    </row>
    <row r="44" spans="1:26" s="31" customFormat="1" ht="15.5" x14ac:dyDescent="0.35">
      <c r="A44" s="5">
        <v>46296</v>
      </c>
      <c r="B44" s="75">
        <v>19310789.464671493</v>
      </c>
      <c r="C44" s="75">
        <v>6155987.3476841552</v>
      </c>
      <c r="D44" s="75">
        <v>25466776.812355649</v>
      </c>
      <c r="E44" s="75">
        <v>79528909.305795968</v>
      </c>
      <c r="F44" s="74">
        <v>622376154.17753196</v>
      </c>
      <c r="G44" s="75">
        <v>3408543.1950255311</v>
      </c>
      <c r="H44" s="75">
        <v>1115183.8455722681</v>
      </c>
      <c r="I44" s="75">
        <v>51320095.606995173</v>
      </c>
      <c r="J44" s="8">
        <v>571056058.57053685</v>
      </c>
      <c r="K44" s="8">
        <v>104995686.11815162</v>
      </c>
      <c r="L44" s="8">
        <v>84052636.346393764</v>
      </c>
      <c r="M44" s="75">
        <v>5887091.2908411333</v>
      </c>
      <c r="N44" s="75">
        <v>132281190.36747751</v>
      </c>
      <c r="O44" s="75">
        <v>138168281.65831864</v>
      </c>
      <c r="P44" s="78">
        <v>432887776.91221821</v>
      </c>
      <c r="Q44" s="78">
        <v>3368395.7556284172</v>
      </c>
      <c r="R44" s="78">
        <v>1383664.4317045601</v>
      </c>
      <c r="S44" s="78">
        <v>9275787.2279307768</v>
      </c>
      <c r="T44" s="1"/>
      <c r="U44" s="1"/>
      <c r="V44" s="78">
        <v>890415.81467813114</v>
      </c>
      <c r="Z44" s="38"/>
    </row>
    <row r="45" spans="1:26" s="31" customFormat="1" ht="15.5" x14ac:dyDescent="0.35">
      <c r="A45" s="5">
        <v>46327</v>
      </c>
      <c r="B45" s="75">
        <v>19310789.464671493</v>
      </c>
      <c r="C45" s="75">
        <v>6155987.3476841552</v>
      </c>
      <c r="D45" s="75">
        <v>25466776.812355649</v>
      </c>
      <c r="E45" s="75">
        <v>83942143.508568674</v>
      </c>
      <c r="F45" s="74">
        <v>652256165.19266033</v>
      </c>
      <c r="G45" s="75">
        <v>3569466.4405644601</v>
      </c>
      <c r="H45" s="75">
        <v>1166483.7401363028</v>
      </c>
      <c r="I45" s="75">
        <v>56056045.787695937</v>
      </c>
      <c r="J45" s="8">
        <v>596200119.40496445</v>
      </c>
      <c r="K45" s="8">
        <v>109408920.32092433</v>
      </c>
      <c r="L45" s="8">
        <v>88678093.689269438</v>
      </c>
      <c r="M45" s="75">
        <v>5827435.3661581893</v>
      </c>
      <c r="N45" s="75">
        <v>138168281.65831864</v>
      </c>
      <c r="O45" s="75">
        <v>143995717.02447683</v>
      </c>
      <c r="P45" s="78">
        <v>452204402.38048762</v>
      </c>
      <c r="Q45" s="78">
        <v>3518702.7005472542</v>
      </c>
      <c r="R45" s="78">
        <v>1383664.4317045601</v>
      </c>
      <c r="S45" s="78">
        <v>9638317.3129525781</v>
      </c>
      <c r="T45" s="1"/>
      <c r="U45" s="1"/>
      <c r="V45" s="78">
        <v>930148.58081407414</v>
      </c>
      <c r="Z45" s="38"/>
    </row>
    <row r="46" spans="1:26" s="31" customFormat="1" ht="15.5" x14ac:dyDescent="0.35">
      <c r="A46" s="79">
        <v>46357</v>
      </c>
      <c r="B46" s="80">
        <v>19310789.464671493</v>
      </c>
      <c r="C46" s="80">
        <v>6155987.3476841552</v>
      </c>
      <c r="D46" s="80">
        <v>25466776.812355649</v>
      </c>
      <c r="E46" s="80">
        <v>88256126.69287762</v>
      </c>
      <c r="F46" s="81">
        <v>682036925.18932498</v>
      </c>
      <c r="G46" s="80">
        <v>3730389.6861033896</v>
      </c>
      <c r="H46" s="80">
        <v>1217783.6347003372</v>
      </c>
      <c r="I46" s="80">
        <v>61004219.108499661</v>
      </c>
      <c r="J46" s="82">
        <v>621032706.08082533</v>
      </c>
      <c r="K46" s="82">
        <v>113722903.50523327</v>
      </c>
      <c r="L46" s="82">
        <v>93204300.013681352</v>
      </c>
      <c r="M46" s="80">
        <v>5767779.4414752452</v>
      </c>
      <c r="N46" s="80">
        <v>143995717.02447683</v>
      </c>
      <c r="O46" s="80">
        <v>149763496.46595207</v>
      </c>
      <c r="P46" s="83">
        <v>471269209.61487329</v>
      </c>
      <c r="Q46" s="83">
        <v>3667050.1919646445</v>
      </c>
      <c r="R46" s="83">
        <v>1383664.4317045601</v>
      </c>
      <c r="S46" s="83">
        <v>9998887.9444729313</v>
      </c>
      <c r="T46" s="1"/>
      <c r="U46" s="1"/>
      <c r="V46" s="83">
        <v>969363.37682049815</v>
      </c>
      <c r="Z46" s="38"/>
    </row>
    <row r="47" spans="1:26" s="31" customFormat="1" ht="15.5" x14ac:dyDescent="0.35">
      <c r="A47" s="5">
        <v>46388</v>
      </c>
      <c r="B47" s="75">
        <v>19310789.464671493</v>
      </c>
      <c r="C47" s="75">
        <v>6155987.3476841552</v>
      </c>
      <c r="D47" s="75">
        <v>25466776.812355649</v>
      </c>
      <c r="E47" s="75">
        <v>92538154.623584479</v>
      </c>
      <c r="F47" s="74">
        <v>711785729.93238747</v>
      </c>
      <c r="G47" s="75">
        <v>3891312.9316423186</v>
      </c>
      <c r="H47" s="75">
        <v>1269083.5292643718</v>
      </c>
      <c r="I47" s="75">
        <v>66164615.569406345</v>
      </c>
      <c r="J47" s="8">
        <v>645621114.36298108</v>
      </c>
      <c r="K47" s="8">
        <v>118004931.43594013</v>
      </c>
      <c r="L47" s="8">
        <v>97698551.084491163</v>
      </c>
      <c r="M47" s="75">
        <v>5708123.5167923048</v>
      </c>
      <c r="N47" s="75">
        <v>149763496.46595207</v>
      </c>
      <c r="O47" s="75">
        <v>155471619.98274437</v>
      </c>
      <c r="P47" s="78">
        <v>490149494.38023674</v>
      </c>
      <c r="Q47" s="78">
        <v>3813961.8731452436</v>
      </c>
      <c r="R47" s="78">
        <v>1383664.4317045601</v>
      </c>
      <c r="S47" s="78">
        <v>10358022.765756493</v>
      </c>
      <c r="T47" s="1"/>
      <c r="U47" s="1"/>
      <c r="V47" s="78">
        <v>1008198.6247469261</v>
      </c>
      <c r="Z47" s="38"/>
    </row>
    <row r="48" spans="1:26" s="31" customFormat="1" ht="15.5" x14ac:dyDescent="0.35">
      <c r="A48" s="5">
        <v>46419</v>
      </c>
      <c r="B48" s="75">
        <v>19310789.464671493</v>
      </c>
      <c r="C48" s="75">
        <v>6155987.3476841552</v>
      </c>
      <c r="D48" s="75">
        <v>25466776.812355649</v>
      </c>
      <c r="E48" s="75">
        <v>96719809.939746633</v>
      </c>
      <c r="F48" s="74">
        <v>741434162.06090522</v>
      </c>
      <c r="G48" s="75">
        <v>4052236.1771812476</v>
      </c>
      <c r="H48" s="75">
        <v>1320383.4238284065</v>
      </c>
      <c r="I48" s="75">
        <v>71537235.170415998</v>
      </c>
      <c r="J48" s="8">
        <v>669896926.89048922</v>
      </c>
      <c r="K48" s="8">
        <v>122186586.75210229</v>
      </c>
      <c r="L48" s="8">
        <v>102092429.54075629</v>
      </c>
      <c r="M48" s="75">
        <v>5648467.5921093607</v>
      </c>
      <c r="N48" s="75">
        <v>155471619.98274437</v>
      </c>
      <c r="O48" s="75">
        <v>161120087.57485372</v>
      </c>
      <c r="P48" s="78">
        <v>508776839.3156355</v>
      </c>
      <c r="Q48" s="78">
        <v>3958905.3734366531</v>
      </c>
      <c r="R48" s="78">
        <v>1383664.4317045601</v>
      </c>
      <c r="S48" s="78">
        <v>10715189.406150866</v>
      </c>
      <c r="T48" s="1"/>
      <c r="U48" s="1"/>
      <c r="V48" s="78">
        <v>1046513.5955096764</v>
      </c>
      <c r="Z48" s="38"/>
    </row>
    <row r="49" spans="1:26" s="31" customFormat="1" ht="15.5" x14ac:dyDescent="0.35">
      <c r="A49" s="79">
        <v>46447</v>
      </c>
      <c r="B49" s="80">
        <v>19310789.464671493</v>
      </c>
      <c r="C49" s="80">
        <v>6155987.3476841552</v>
      </c>
      <c r="D49" s="80">
        <v>25466776.812355649</v>
      </c>
      <c r="E49" s="80">
        <v>100801092.64136399</v>
      </c>
      <c r="F49" s="81">
        <v>770982221.57487822</v>
      </c>
      <c r="G49" s="80">
        <v>4213159.4227201771</v>
      </c>
      <c r="H49" s="80">
        <v>1371683.3183924409</v>
      </c>
      <c r="I49" s="80">
        <v>77122077.911528617</v>
      </c>
      <c r="J49" s="82">
        <v>693860143.66334963</v>
      </c>
      <c r="K49" s="82">
        <v>126267869.45371965</v>
      </c>
      <c r="L49" s="82">
        <v>106385935.38247661</v>
      </c>
      <c r="M49" s="80">
        <v>5588811.6674264167</v>
      </c>
      <c r="N49" s="80">
        <v>161120087.57485372</v>
      </c>
      <c r="O49" s="80">
        <v>166708899.24228013</v>
      </c>
      <c r="P49" s="83">
        <v>527151244.4210695</v>
      </c>
      <c r="Q49" s="83">
        <v>4101880.6928388723</v>
      </c>
      <c r="R49" s="83">
        <v>1383664.4317045601</v>
      </c>
      <c r="S49" s="83">
        <v>11070387.86565605</v>
      </c>
      <c r="T49" s="1"/>
      <c r="U49" s="1"/>
      <c r="V49" s="83">
        <v>1084308.2891087492</v>
      </c>
      <c r="Z49" s="38"/>
    </row>
    <row r="50" spans="1:26" s="31" customFormat="1" ht="15.5" x14ac:dyDescent="0.35">
      <c r="A50" s="5">
        <v>46478</v>
      </c>
      <c r="B50" s="75">
        <v>19310789.464671493</v>
      </c>
      <c r="C50" s="75">
        <v>6155987.3476841552</v>
      </c>
      <c r="D50" s="75">
        <v>25466776.812355649</v>
      </c>
      <c r="E50" s="75">
        <v>104782002.72843657</v>
      </c>
      <c r="F50" s="74">
        <v>800429908.47430646</v>
      </c>
      <c r="G50" s="75">
        <v>4374082.6682591056</v>
      </c>
      <c r="H50" s="75">
        <v>1422983.2129564756</v>
      </c>
      <c r="I50" s="75">
        <v>82919143.79274419</v>
      </c>
      <c r="J50" s="8">
        <v>717510764.6815623</v>
      </c>
      <c r="K50" s="8">
        <v>130248779.54079223</v>
      </c>
      <c r="L50" s="8">
        <v>110579068.60965216</v>
      </c>
      <c r="M50" s="75">
        <v>5529155.7427434726</v>
      </c>
      <c r="N50" s="75">
        <v>166708899.24228013</v>
      </c>
      <c r="O50" s="75">
        <v>172238054.98502359</v>
      </c>
      <c r="P50" s="78">
        <v>545272709.69653869</v>
      </c>
      <c r="Q50" s="78">
        <v>4242887.8313519014</v>
      </c>
      <c r="R50" s="78">
        <v>1383664.4317045601</v>
      </c>
      <c r="S50" s="78">
        <v>11423618.144272044</v>
      </c>
      <c r="T50" s="1"/>
      <c r="U50" s="1"/>
      <c r="V50" s="78">
        <v>1121582.7055441441</v>
      </c>
      <c r="Z50" s="38"/>
    </row>
    <row r="51" spans="1:26" s="31" customFormat="1" ht="15.5" x14ac:dyDescent="0.35">
      <c r="A51" s="5">
        <v>46508</v>
      </c>
      <c r="B51" s="75">
        <v>19310789.464671493</v>
      </c>
      <c r="C51" s="75">
        <v>6155987.3476841552</v>
      </c>
      <c r="D51" s="75">
        <v>25466776.812355649</v>
      </c>
      <c r="E51" s="75">
        <v>108662540.20096441</v>
      </c>
      <c r="F51" s="74">
        <v>829777222.75918996</v>
      </c>
      <c r="G51" s="75">
        <v>4535005.9137980351</v>
      </c>
      <c r="H51" s="75">
        <v>1474283.10752051</v>
      </c>
      <c r="I51" s="75">
        <v>88928432.814062729</v>
      </c>
      <c r="J51" s="8">
        <v>740848789.94512725</v>
      </c>
      <c r="K51" s="8">
        <v>134129317.01332006</v>
      </c>
      <c r="L51" s="8">
        <v>114671829.22228295</v>
      </c>
      <c r="M51" s="75">
        <v>5469499.8180605322</v>
      </c>
      <c r="N51" s="75">
        <v>172238054.98502359</v>
      </c>
      <c r="O51" s="75">
        <v>177707554.80308414</v>
      </c>
      <c r="P51" s="78">
        <v>563141235.14204311</v>
      </c>
      <c r="Q51" s="78">
        <v>4381926.7889757389</v>
      </c>
      <c r="R51" s="78">
        <v>1383664.4317045601</v>
      </c>
      <c r="S51" s="78">
        <v>11774880.241998844</v>
      </c>
      <c r="T51" s="1"/>
      <c r="U51" s="1"/>
      <c r="V51" s="78">
        <v>1158336.8448158614</v>
      </c>
      <c r="Z51" s="38"/>
    </row>
    <row r="52" spans="1:26" s="31" customFormat="1" ht="15.5" x14ac:dyDescent="0.35">
      <c r="A52" s="79">
        <v>46539</v>
      </c>
      <c r="B52" s="80">
        <v>19310789.464671493</v>
      </c>
      <c r="C52" s="80">
        <v>6155987.3476841552</v>
      </c>
      <c r="D52" s="80">
        <v>25466776.812355649</v>
      </c>
      <c r="E52" s="80">
        <v>112442705.0589475</v>
      </c>
      <c r="F52" s="81">
        <v>859024164.42952871</v>
      </c>
      <c r="G52" s="80">
        <v>4695929.1593369637</v>
      </c>
      <c r="H52" s="80">
        <v>1525583.0020845444</v>
      </c>
      <c r="I52" s="80">
        <v>95149944.975484237</v>
      </c>
      <c r="J52" s="82">
        <v>763874219.45404434</v>
      </c>
      <c r="K52" s="82">
        <v>137909481.87130314</v>
      </c>
      <c r="L52" s="82">
        <v>118664217.22036901</v>
      </c>
      <c r="M52" s="80">
        <v>5409843.8933775844</v>
      </c>
      <c r="N52" s="80">
        <v>177707554.80308414</v>
      </c>
      <c r="O52" s="80">
        <v>183117398.69646171</v>
      </c>
      <c r="P52" s="83">
        <v>580756820.75758266</v>
      </c>
      <c r="Q52" s="83">
        <v>4518997.5657103863</v>
      </c>
      <c r="R52" s="83">
        <v>1383664.4317045601</v>
      </c>
      <c r="S52" s="83">
        <v>12124174.158836454</v>
      </c>
      <c r="T52" s="1"/>
      <c r="U52" s="1"/>
      <c r="V52" s="83">
        <v>1194570.7069239009</v>
      </c>
      <c r="Z52" s="38"/>
    </row>
    <row r="53" spans="1:26" s="31" customFormat="1" ht="15.5" x14ac:dyDescent="0.35">
      <c r="A53" s="5">
        <v>46569</v>
      </c>
      <c r="B53" s="75">
        <v>0</v>
      </c>
      <c r="C53" s="75">
        <v>0</v>
      </c>
      <c r="D53" s="75">
        <v>0</v>
      </c>
      <c r="E53" s="75">
        <v>116122497.30238578</v>
      </c>
      <c r="F53" s="74">
        <v>862703956.67296696</v>
      </c>
      <c r="G53" s="75">
        <v>4695929.1593369637</v>
      </c>
      <c r="H53" s="75">
        <v>1525583.0020845444</v>
      </c>
      <c r="I53" s="75">
        <v>101371457.13690574</v>
      </c>
      <c r="J53" s="8">
        <v>761332499.53606117</v>
      </c>
      <c r="K53" s="8">
        <v>116122497.30238578</v>
      </c>
      <c r="L53" s="8">
        <v>122344009.46380728</v>
      </c>
      <c r="M53" s="75">
        <v>-1748867.068575586</v>
      </c>
      <c r="N53" s="75">
        <v>183117398.69646171</v>
      </c>
      <c r="O53" s="75">
        <v>181368531.62788612</v>
      </c>
      <c r="P53" s="78">
        <v>579963967.90817499</v>
      </c>
      <c r="Q53" s="78">
        <v>4512828.2019278556</v>
      </c>
      <c r="R53" s="78">
        <v>0</v>
      </c>
      <c r="S53" s="78">
        <v>10734340.363349363</v>
      </c>
      <c r="T53" s="1"/>
      <c r="U53" s="1"/>
      <c r="V53" s="78">
        <v>1192939.8715123285</v>
      </c>
      <c r="Z53" s="38"/>
    </row>
    <row r="54" spans="1:26" s="31" customFormat="1" ht="15.5" x14ac:dyDescent="0.35">
      <c r="A54" s="5">
        <v>46600</v>
      </c>
      <c r="B54" s="75">
        <v>0</v>
      </c>
      <c r="C54" s="75">
        <v>0</v>
      </c>
      <c r="D54" s="75">
        <v>0</v>
      </c>
      <c r="E54" s="75">
        <v>119701916.93127936</v>
      </c>
      <c r="F54" s="74">
        <v>866283376.30186057</v>
      </c>
      <c r="G54" s="75">
        <v>4695929.1593369637</v>
      </c>
      <c r="H54" s="75">
        <v>1525583.0020845444</v>
      </c>
      <c r="I54" s="75">
        <v>107592969.29832725</v>
      </c>
      <c r="J54" s="8">
        <v>758690407.00353336</v>
      </c>
      <c r="K54" s="8">
        <v>119701916.93127936</v>
      </c>
      <c r="L54" s="8">
        <v>125923429.09270087</v>
      </c>
      <c r="M54" s="75">
        <v>-1748867.068575586</v>
      </c>
      <c r="N54" s="75">
        <v>181368531.62788612</v>
      </c>
      <c r="O54" s="75">
        <v>179619664.55931053</v>
      </c>
      <c r="P54" s="78">
        <v>579070742.44422281</v>
      </c>
      <c r="Q54" s="78">
        <v>4505877.8165807407</v>
      </c>
      <c r="R54" s="78">
        <v>0</v>
      </c>
      <c r="S54" s="78">
        <v>10727389.978002248</v>
      </c>
      <c r="T54" s="1"/>
      <c r="U54" s="1"/>
      <c r="V54" s="78">
        <v>1191102.5775955324</v>
      </c>
      <c r="Z54" s="38"/>
    </row>
    <row r="55" spans="1:26" s="31" customFormat="1" ht="15.5" x14ac:dyDescent="0.35">
      <c r="A55" s="79">
        <v>46631</v>
      </c>
      <c r="B55" s="80">
        <v>0</v>
      </c>
      <c r="C55" s="80">
        <v>0</v>
      </c>
      <c r="D55" s="80">
        <v>0</v>
      </c>
      <c r="E55" s="80">
        <v>123180963.94562811</v>
      </c>
      <c r="F55" s="81">
        <v>869762423.31620932</v>
      </c>
      <c r="G55" s="80">
        <v>4695929.1593369637</v>
      </c>
      <c r="H55" s="80">
        <v>1525583.0020845444</v>
      </c>
      <c r="I55" s="80">
        <v>113814481.45974876</v>
      </c>
      <c r="J55" s="82">
        <v>755947941.85646057</v>
      </c>
      <c r="K55" s="82">
        <v>123180963.94562811</v>
      </c>
      <c r="L55" s="82">
        <v>129402476.10704961</v>
      </c>
      <c r="M55" s="80">
        <v>-1748867.068575586</v>
      </c>
      <c r="N55" s="80">
        <v>179619664.55931053</v>
      </c>
      <c r="O55" s="80">
        <v>177870797.49073493</v>
      </c>
      <c r="P55" s="83">
        <v>578077144.36572564</v>
      </c>
      <c r="Q55" s="83">
        <v>4498146.4096690388</v>
      </c>
      <c r="R55" s="83">
        <v>0</v>
      </c>
      <c r="S55" s="83">
        <v>10719658.571090546</v>
      </c>
      <c r="T55" s="1"/>
      <c r="U55" s="1"/>
      <c r="V55" s="78">
        <v>1189058.8251735112</v>
      </c>
      <c r="Z55" s="38"/>
    </row>
    <row r="56" spans="1:26" s="31" customFormat="1" ht="15.5" x14ac:dyDescent="0.35">
      <c r="A56" s="5">
        <v>46661</v>
      </c>
      <c r="B56" s="75">
        <v>0</v>
      </c>
      <c r="C56" s="75">
        <v>0</v>
      </c>
      <c r="D56" s="75">
        <v>0</v>
      </c>
      <c r="E56" s="75">
        <v>126559638.34543218</v>
      </c>
      <c r="F56" s="74">
        <v>873141097.71601331</v>
      </c>
      <c r="G56" s="75">
        <v>4695929.1593369637</v>
      </c>
      <c r="H56" s="75">
        <v>1525583.0020845444</v>
      </c>
      <c r="I56" s="75">
        <v>120035993.62117027</v>
      </c>
      <c r="J56" s="8">
        <v>753105104.09484303</v>
      </c>
      <c r="K56" s="8">
        <v>126559638.34543218</v>
      </c>
      <c r="L56" s="8">
        <v>132781150.50685368</v>
      </c>
      <c r="M56" s="75">
        <v>-1748867.068575586</v>
      </c>
      <c r="N56" s="75">
        <v>177870797.49073493</v>
      </c>
      <c r="O56" s="75">
        <v>176121930.42215934</v>
      </c>
      <c r="P56" s="78">
        <v>576983173.67268372</v>
      </c>
      <c r="Q56" s="78">
        <v>4489633.9811927509</v>
      </c>
      <c r="R56" s="78">
        <v>0</v>
      </c>
      <c r="S56" s="78">
        <v>10711146.142614258</v>
      </c>
      <c r="T56" s="1"/>
      <c r="U56" s="1"/>
      <c r="V56" s="78">
        <v>1186808.6142462657</v>
      </c>
      <c r="Z56" s="38"/>
    </row>
    <row r="57" spans="1:26" s="31" customFormat="1" ht="15.5" x14ac:dyDescent="0.35">
      <c r="A57" s="5">
        <v>46692</v>
      </c>
      <c r="B57" s="75">
        <v>0</v>
      </c>
      <c r="C57" s="75">
        <v>0</v>
      </c>
      <c r="D57" s="75">
        <v>0</v>
      </c>
      <c r="E57" s="75">
        <v>129837940.13069142</v>
      </c>
      <c r="F57" s="74">
        <v>876419399.50127256</v>
      </c>
      <c r="G57" s="75">
        <v>4695929.1593369637</v>
      </c>
      <c r="H57" s="75">
        <v>1525583.0020845444</v>
      </c>
      <c r="I57" s="75">
        <v>126257505.78259178</v>
      </c>
      <c r="J57" s="8">
        <v>750161893.71868074</v>
      </c>
      <c r="K57" s="8">
        <v>129837940.13069142</v>
      </c>
      <c r="L57" s="8">
        <v>136059452.29211295</v>
      </c>
      <c r="M57" s="75">
        <v>-1748867.0685755902</v>
      </c>
      <c r="N57" s="75">
        <v>176121930.42215934</v>
      </c>
      <c r="O57" s="75">
        <v>174373063.35358375</v>
      </c>
      <c r="P57" s="78">
        <v>575788830.36509705</v>
      </c>
      <c r="Q57" s="78">
        <v>4480340.5311518786</v>
      </c>
      <c r="R57" s="78">
        <v>0</v>
      </c>
      <c r="S57" s="78">
        <v>10701852.692573387</v>
      </c>
      <c r="T57" s="1"/>
      <c r="U57" s="1"/>
      <c r="V57" s="78">
        <v>1184351.9448137956</v>
      </c>
      <c r="Z57" s="38"/>
    </row>
    <row r="58" spans="1:26" s="31" customFormat="1" ht="15.5" x14ac:dyDescent="0.35">
      <c r="A58" s="79">
        <v>46722</v>
      </c>
      <c r="B58" s="80">
        <v>0</v>
      </c>
      <c r="C58" s="80">
        <v>0</v>
      </c>
      <c r="D58" s="80">
        <v>0</v>
      </c>
      <c r="E58" s="80">
        <v>133015869.30140594</v>
      </c>
      <c r="F58" s="81">
        <v>879597328.67198706</v>
      </c>
      <c r="G58" s="80">
        <v>4695929.1593369637</v>
      </c>
      <c r="H58" s="80">
        <v>1525583.0020845444</v>
      </c>
      <c r="I58" s="80">
        <v>132479017.94401328</v>
      </c>
      <c r="J58" s="82">
        <v>747118310.72797382</v>
      </c>
      <c r="K58" s="82">
        <v>133015869.30140594</v>
      </c>
      <c r="L58" s="82">
        <v>139237381.46282744</v>
      </c>
      <c r="M58" s="80">
        <v>-1748867.068575586</v>
      </c>
      <c r="N58" s="80">
        <v>174373063.35358375</v>
      </c>
      <c r="O58" s="80">
        <v>172624196.28500816</v>
      </c>
      <c r="P58" s="83">
        <v>574494114.44296563</v>
      </c>
      <c r="Q58" s="83">
        <v>4470266.0595464204</v>
      </c>
      <c r="R58" s="83">
        <v>0</v>
      </c>
      <c r="S58" s="83">
        <v>10691778.220967928</v>
      </c>
      <c r="T58" s="1"/>
      <c r="U58" s="1"/>
      <c r="V58" s="78">
        <v>1181688.8168761011</v>
      </c>
      <c r="Z58" s="38"/>
    </row>
    <row r="59" spans="1:26" s="31" customFormat="1" ht="15.5" x14ac:dyDescent="0.35">
      <c r="A59" s="5">
        <v>46753</v>
      </c>
      <c r="B59" s="75">
        <v>0</v>
      </c>
      <c r="C59" s="75">
        <v>0</v>
      </c>
      <c r="D59" s="75">
        <v>0</v>
      </c>
      <c r="E59" s="75">
        <v>130071068.98488998</v>
      </c>
      <c r="F59" s="74">
        <v>876652528.35547113</v>
      </c>
      <c r="G59" s="75">
        <v>4695929.1593369637</v>
      </c>
      <c r="H59" s="75">
        <v>1525583.0020845444</v>
      </c>
      <c r="I59" s="75">
        <v>138700530.10543481</v>
      </c>
      <c r="J59" s="8">
        <v>737951998.25003636</v>
      </c>
      <c r="K59" s="8">
        <v>130071068.98488998</v>
      </c>
      <c r="L59" s="8">
        <v>136292581.14631149</v>
      </c>
      <c r="M59" s="75">
        <v>-1748867.068575586</v>
      </c>
      <c r="N59" s="75">
        <v>172624196.28500816</v>
      </c>
      <c r="O59" s="75">
        <v>170875329.21643257</v>
      </c>
      <c r="P59" s="78">
        <v>567076669.03360379</v>
      </c>
      <c r="Q59" s="78">
        <v>4412549.2725012498</v>
      </c>
      <c r="R59" s="78">
        <v>0</v>
      </c>
      <c r="S59" s="78">
        <v>10634061.433922756</v>
      </c>
      <c r="T59" s="1"/>
      <c r="U59" s="1"/>
      <c r="V59" s="78">
        <v>1166431.7201197129</v>
      </c>
      <c r="Z59" s="38"/>
    </row>
    <row r="60" spans="1:26" s="31" customFormat="1" ht="15.5" x14ac:dyDescent="0.35">
      <c r="A60" s="5">
        <v>46784</v>
      </c>
      <c r="B60" s="75">
        <v>0</v>
      </c>
      <c r="C60" s="75">
        <v>0</v>
      </c>
      <c r="D60" s="75">
        <v>0</v>
      </c>
      <c r="E60" s="75">
        <v>127126268.66837403</v>
      </c>
      <c r="F60" s="74">
        <v>873707728.03895521</v>
      </c>
      <c r="G60" s="75">
        <v>4695929.1593369637</v>
      </c>
      <c r="H60" s="75">
        <v>1525583.0020845444</v>
      </c>
      <c r="I60" s="75">
        <v>144922042.26685631</v>
      </c>
      <c r="J60" s="8">
        <v>728785685.7720989</v>
      </c>
      <c r="K60" s="8">
        <v>127126268.66837403</v>
      </c>
      <c r="L60" s="8">
        <v>133347780.82979554</v>
      </c>
      <c r="M60" s="75">
        <v>-1748867.068575586</v>
      </c>
      <c r="N60" s="75">
        <v>170875329.21643257</v>
      </c>
      <c r="O60" s="75">
        <v>169126462.14785698</v>
      </c>
      <c r="P60" s="78">
        <v>559659223.62424195</v>
      </c>
      <c r="Q60" s="78">
        <v>4354832.4854560792</v>
      </c>
      <c r="R60" s="78">
        <v>0</v>
      </c>
      <c r="S60" s="78">
        <v>10576344.646877587</v>
      </c>
      <c r="T60" s="1"/>
      <c r="U60" s="1"/>
      <c r="V60" s="78">
        <v>1151174.6233633247</v>
      </c>
      <c r="Z60" s="38"/>
    </row>
    <row r="61" spans="1:26" s="31" customFormat="1" ht="15.5" x14ac:dyDescent="0.35">
      <c r="A61" s="79">
        <v>46813</v>
      </c>
      <c r="B61" s="80">
        <v>0</v>
      </c>
      <c r="C61" s="80">
        <v>0</v>
      </c>
      <c r="D61" s="80">
        <v>0</v>
      </c>
      <c r="E61" s="80">
        <v>124181468.35185806</v>
      </c>
      <c r="F61" s="81">
        <v>870762927.72243917</v>
      </c>
      <c r="G61" s="80">
        <v>4695929.1593369637</v>
      </c>
      <c r="H61" s="80">
        <v>1525583.0020845444</v>
      </c>
      <c r="I61" s="80">
        <v>151143554.42827782</v>
      </c>
      <c r="J61" s="82">
        <v>719619373.29416132</v>
      </c>
      <c r="K61" s="82">
        <v>124181468.35185806</v>
      </c>
      <c r="L61" s="82">
        <v>130402980.51327957</v>
      </c>
      <c r="M61" s="80">
        <v>-1748867.068575586</v>
      </c>
      <c r="N61" s="80">
        <v>169126462.14785698</v>
      </c>
      <c r="O61" s="80">
        <v>167377595.07928139</v>
      </c>
      <c r="P61" s="83">
        <v>552241778.21487999</v>
      </c>
      <c r="Q61" s="83">
        <v>4297115.6984109068</v>
      </c>
      <c r="R61" s="83">
        <v>0</v>
      </c>
      <c r="S61" s="83">
        <v>10518627.859832413</v>
      </c>
      <c r="T61" s="1"/>
      <c r="U61" s="1"/>
      <c r="V61" s="78">
        <v>1135917.5266069362</v>
      </c>
      <c r="Z61" s="38"/>
    </row>
    <row r="62" spans="1:26" s="31" customFormat="1" ht="15.5" x14ac:dyDescent="0.35">
      <c r="A62" s="5">
        <v>46844</v>
      </c>
      <c r="B62" s="75">
        <v>0</v>
      </c>
      <c r="C62" s="75">
        <v>0</v>
      </c>
      <c r="D62" s="75">
        <v>0</v>
      </c>
      <c r="E62" s="75">
        <v>121236668.03534207</v>
      </c>
      <c r="F62" s="74">
        <v>867818127.40592325</v>
      </c>
      <c r="G62" s="75">
        <v>4695929.1593369637</v>
      </c>
      <c r="H62" s="75">
        <v>1525583.0020845444</v>
      </c>
      <c r="I62" s="75">
        <v>157365066.58969933</v>
      </c>
      <c r="J62" s="8">
        <v>710453060.81622398</v>
      </c>
      <c r="K62" s="8">
        <v>121236668.03534207</v>
      </c>
      <c r="L62" s="8">
        <v>127458180.19676358</v>
      </c>
      <c r="M62" s="75">
        <v>-1748867.068575586</v>
      </c>
      <c r="N62" s="75">
        <v>167377595.07928139</v>
      </c>
      <c r="O62" s="75">
        <v>165628728.0107058</v>
      </c>
      <c r="P62" s="78">
        <v>544824332.80551815</v>
      </c>
      <c r="Q62" s="78">
        <v>4239398.9113657363</v>
      </c>
      <c r="R62" s="78">
        <v>0</v>
      </c>
      <c r="S62" s="78">
        <v>10460911.072787244</v>
      </c>
      <c r="T62" s="1"/>
      <c r="U62" s="1"/>
      <c r="V62" s="78">
        <v>1120660.4298505483</v>
      </c>
      <c r="Z62" s="38"/>
    </row>
    <row r="63" spans="1:26" s="31" customFormat="1" ht="15.5" x14ac:dyDescent="0.35">
      <c r="A63" s="5">
        <v>46874</v>
      </c>
      <c r="B63" s="75">
        <v>0</v>
      </c>
      <c r="C63" s="75">
        <v>0</v>
      </c>
      <c r="D63" s="75">
        <v>0</v>
      </c>
      <c r="E63" s="75">
        <v>118291867.71882612</v>
      </c>
      <c r="F63" s="74">
        <v>864873327.08940721</v>
      </c>
      <c r="G63" s="75">
        <v>4695929.1593369637</v>
      </c>
      <c r="H63" s="75">
        <v>1525583.0020845444</v>
      </c>
      <c r="I63" s="75">
        <v>163586578.75112084</v>
      </c>
      <c r="J63" s="8">
        <v>701286748.3382864</v>
      </c>
      <c r="K63" s="8">
        <v>118291867.71882612</v>
      </c>
      <c r="L63" s="8">
        <v>124513379.88024762</v>
      </c>
      <c r="M63" s="75">
        <v>-1748867.068575586</v>
      </c>
      <c r="N63" s="75">
        <v>165628728.0107058</v>
      </c>
      <c r="O63" s="75">
        <v>163879860.94213021</v>
      </c>
      <c r="P63" s="78">
        <v>537406887.39615619</v>
      </c>
      <c r="Q63" s="78">
        <v>4181682.1243205643</v>
      </c>
      <c r="R63" s="78">
        <v>0</v>
      </c>
      <c r="S63" s="78">
        <v>10403194.285742072</v>
      </c>
      <c r="T63" s="1"/>
      <c r="U63" s="1"/>
      <c r="V63" s="78">
        <v>1105403.3330941598</v>
      </c>
      <c r="Z63" s="38"/>
    </row>
    <row r="64" spans="1:26" s="31" customFormat="1" ht="15.5" x14ac:dyDescent="0.35">
      <c r="A64" s="79">
        <v>46905</v>
      </c>
      <c r="B64" s="80">
        <v>0</v>
      </c>
      <c r="C64" s="80">
        <v>0</v>
      </c>
      <c r="D64" s="80">
        <v>0</v>
      </c>
      <c r="E64" s="80">
        <v>115347067.40231016</v>
      </c>
      <c r="F64" s="81">
        <v>861928526.77289128</v>
      </c>
      <c r="G64" s="80">
        <v>4695929.1593369637</v>
      </c>
      <c r="H64" s="80">
        <v>1525583.0020845444</v>
      </c>
      <c r="I64" s="80">
        <v>169808090.91254234</v>
      </c>
      <c r="J64" s="82">
        <v>692120435.86034894</v>
      </c>
      <c r="K64" s="82">
        <v>115347067.40231016</v>
      </c>
      <c r="L64" s="82">
        <v>121568579.56373167</v>
      </c>
      <c r="M64" s="80">
        <v>-1748867.068575586</v>
      </c>
      <c r="N64" s="80">
        <v>163879860.94213021</v>
      </c>
      <c r="O64" s="80">
        <v>162130993.87355462</v>
      </c>
      <c r="P64" s="83">
        <v>529989441.98679435</v>
      </c>
      <c r="Q64" s="83">
        <v>4123965.3372753938</v>
      </c>
      <c r="R64" s="83">
        <v>0</v>
      </c>
      <c r="S64" s="83">
        <v>10345477.498696901</v>
      </c>
      <c r="T64" s="1"/>
      <c r="U64" s="1"/>
      <c r="V64" s="78">
        <v>1090146.2363377716</v>
      </c>
      <c r="Z64" s="38"/>
    </row>
    <row r="65" spans="1:26" s="31" customFormat="1" ht="15.5" x14ac:dyDescent="0.35">
      <c r="A65" s="5">
        <v>46935</v>
      </c>
      <c r="B65" s="75">
        <v>0</v>
      </c>
      <c r="C65" s="75">
        <v>0</v>
      </c>
      <c r="D65" s="75">
        <v>0</v>
      </c>
      <c r="E65" s="75">
        <v>112402267.08579418</v>
      </c>
      <c r="F65" s="74">
        <v>858983726.45637536</v>
      </c>
      <c r="G65" s="75">
        <v>4695929.1593369637</v>
      </c>
      <c r="H65" s="75">
        <v>1525583.0020845444</v>
      </c>
      <c r="I65" s="75">
        <v>176029603.07396385</v>
      </c>
      <c r="J65" s="8">
        <v>682954123.38241148</v>
      </c>
      <c r="K65" s="8">
        <v>112402267.08579418</v>
      </c>
      <c r="L65" s="8">
        <v>118623779.24721569</v>
      </c>
      <c r="M65" s="75">
        <v>-1748867.068575586</v>
      </c>
      <c r="N65" s="75">
        <v>162130993.87355462</v>
      </c>
      <c r="O65" s="75">
        <v>160382126.80497903</v>
      </c>
      <c r="P65" s="78">
        <v>522571996.57743245</v>
      </c>
      <c r="Q65" s="78">
        <v>4066248.5502302223</v>
      </c>
      <c r="R65" s="78">
        <v>0</v>
      </c>
      <c r="S65" s="78">
        <v>10287760.711651729</v>
      </c>
      <c r="T65" s="1"/>
      <c r="U65" s="1"/>
      <c r="V65" s="78">
        <v>1074889.1395813834</v>
      </c>
      <c r="Z65" s="38"/>
    </row>
    <row r="66" spans="1:26" s="31" customFormat="1" ht="15.5" x14ac:dyDescent="0.35">
      <c r="A66" s="5">
        <v>46966</v>
      </c>
      <c r="B66" s="75">
        <v>0</v>
      </c>
      <c r="C66" s="75">
        <v>0</v>
      </c>
      <c r="D66" s="75">
        <v>0</v>
      </c>
      <c r="E66" s="75">
        <v>109457466.76927823</v>
      </c>
      <c r="F66" s="74">
        <v>856038926.13985944</v>
      </c>
      <c r="G66" s="75">
        <v>4695929.1593369637</v>
      </c>
      <c r="H66" s="75">
        <v>1525583.0020845444</v>
      </c>
      <c r="I66" s="75">
        <v>182251115.23538536</v>
      </c>
      <c r="J66" s="8">
        <v>673787810.90447402</v>
      </c>
      <c r="K66" s="8">
        <v>109457466.76927823</v>
      </c>
      <c r="L66" s="8">
        <v>115678978.93069974</v>
      </c>
      <c r="M66" s="75">
        <v>-1748867.068575586</v>
      </c>
      <c r="N66" s="75">
        <v>160382126.80497903</v>
      </c>
      <c r="O66" s="75">
        <v>158633259.73640344</v>
      </c>
      <c r="P66" s="78">
        <v>515154551.16807055</v>
      </c>
      <c r="Q66" s="78">
        <v>4008531.7631850513</v>
      </c>
      <c r="R66" s="78">
        <v>0</v>
      </c>
      <c r="S66" s="78">
        <v>10230043.924606558</v>
      </c>
      <c r="T66" s="1"/>
      <c r="U66" s="1"/>
      <c r="V66" s="78">
        <v>1059632.042824995</v>
      </c>
      <c r="Z66" s="38"/>
    </row>
    <row r="67" spans="1:26" s="31" customFormat="1" ht="15.5" x14ac:dyDescent="0.35">
      <c r="A67" s="79">
        <v>46997</v>
      </c>
      <c r="B67" s="80">
        <v>0</v>
      </c>
      <c r="C67" s="80">
        <v>0</v>
      </c>
      <c r="D67" s="80">
        <v>0</v>
      </c>
      <c r="E67" s="80">
        <v>106512666.45276225</v>
      </c>
      <c r="F67" s="81">
        <v>853094125.8233434</v>
      </c>
      <c r="G67" s="80">
        <v>4695929.1593369637</v>
      </c>
      <c r="H67" s="80">
        <v>1525583.0020845444</v>
      </c>
      <c r="I67" s="80">
        <v>188472627.39680687</v>
      </c>
      <c r="J67" s="82">
        <v>664621498.42653656</v>
      </c>
      <c r="K67" s="82">
        <v>106512666.45276225</v>
      </c>
      <c r="L67" s="82">
        <v>112734178.61418375</v>
      </c>
      <c r="M67" s="80">
        <v>-1748867.068575586</v>
      </c>
      <c r="N67" s="80">
        <v>158633259.73640344</v>
      </c>
      <c r="O67" s="80">
        <v>156884392.66782784</v>
      </c>
      <c r="P67" s="83">
        <v>507737105.75870872</v>
      </c>
      <c r="Q67" s="83">
        <v>3950814.9761398803</v>
      </c>
      <c r="R67" s="83">
        <v>0</v>
      </c>
      <c r="S67" s="83">
        <v>10172327.137561388</v>
      </c>
      <c r="T67" s="1"/>
      <c r="U67" s="1"/>
      <c r="V67" s="78">
        <v>1044374.9460686069</v>
      </c>
      <c r="Z67" s="38"/>
    </row>
    <row r="68" spans="1:26" s="31" customFormat="1" ht="15.5" x14ac:dyDescent="0.35">
      <c r="A68" s="5">
        <v>47027</v>
      </c>
      <c r="B68" s="75">
        <v>0</v>
      </c>
      <c r="C68" s="75">
        <v>0</v>
      </c>
      <c r="D68" s="75">
        <v>0</v>
      </c>
      <c r="E68" s="75">
        <v>103567866.13624634</v>
      </c>
      <c r="F68" s="74">
        <v>850149325.50682747</v>
      </c>
      <c r="G68" s="75">
        <v>4695929.1593369637</v>
      </c>
      <c r="H68" s="75">
        <v>1525583.0020845444</v>
      </c>
      <c r="I68" s="75">
        <v>194694139.55822837</v>
      </c>
      <c r="J68" s="8">
        <v>655455185.9485991</v>
      </c>
      <c r="K68" s="8">
        <v>103567866.13624634</v>
      </c>
      <c r="L68" s="8">
        <v>109789378.29766785</v>
      </c>
      <c r="M68" s="75">
        <v>-1748867.068575586</v>
      </c>
      <c r="N68" s="75">
        <v>156884392.66782784</v>
      </c>
      <c r="O68" s="75">
        <v>155135525.59925225</v>
      </c>
      <c r="P68" s="78">
        <v>500319660.34934688</v>
      </c>
      <c r="Q68" s="78">
        <v>3893098.1890947097</v>
      </c>
      <c r="R68" s="78">
        <v>0</v>
      </c>
      <c r="S68" s="78">
        <v>10114610.350516217</v>
      </c>
      <c r="T68" s="1"/>
      <c r="U68" s="1"/>
      <c r="V68" s="78">
        <v>1029117.8493122188</v>
      </c>
      <c r="Z68" s="38"/>
    </row>
    <row r="69" spans="1:26" s="31" customFormat="1" ht="15.5" x14ac:dyDescent="0.35">
      <c r="A69" s="5">
        <v>47058</v>
      </c>
      <c r="B69" s="75">
        <v>0</v>
      </c>
      <c r="C69" s="75">
        <v>0</v>
      </c>
      <c r="D69" s="75">
        <v>0</v>
      </c>
      <c r="E69" s="75">
        <v>100623065.81973036</v>
      </c>
      <c r="F69" s="74">
        <v>847204525.19031155</v>
      </c>
      <c r="G69" s="75">
        <v>4695929.1593369637</v>
      </c>
      <c r="H69" s="75">
        <v>1525583.0020845444</v>
      </c>
      <c r="I69" s="75">
        <v>200915651.71964988</v>
      </c>
      <c r="J69" s="8">
        <v>646288873.47066164</v>
      </c>
      <c r="K69" s="8">
        <v>100623065.81973036</v>
      </c>
      <c r="L69" s="8">
        <v>106844577.98115186</v>
      </c>
      <c r="M69" s="75">
        <v>-1748867.068575586</v>
      </c>
      <c r="N69" s="75">
        <v>155135525.59925225</v>
      </c>
      <c r="O69" s="75">
        <v>153386658.53067666</v>
      </c>
      <c r="P69" s="78">
        <v>492902214.93998498</v>
      </c>
      <c r="Q69" s="78">
        <v>3835381.4020495382</v>
      </c>
      <c r="R69" s="78">
        <v>0</v>
      </c>
      <c r="S69" s="78">
        <v>10056893.563471045</v>
      </c>
      <c r="T69" s="1"/>
      <c r="U69" s="1"/>
      <c r="V69" s="78">
        <v>1013860.7525558305</v>
      </c>
      <c r="Z69" s="38"/>
    </row>
    <row r="70" spans="1:26" s="31" customFormat="1" ht="15.5" x14ac:dyDescent="0.35">
      <c r="A70" s="79">
        <v>47088</v>
      </c>
      <c r="B70" s="80">
        <v>0</v>
      </c>
      <c r="C70" s="80">
        <v>0</v>
      </c>
      <c r="D70" s="80">
        <v>0</v>
      </c>
      <c r="E70" s="80">
        <v>97678265.503214389</v>
      </c>
      <c r="F70" s="81">
        <v>844259724.87379551</v>
      </c>
      <c r="G70" s="80">
        <v>4695929.1593369637</v>
      </c>
      <c r="H70" s="80">
        <v>1525583.0020845444</v>
      </c>
      <c r="I70" s="80">
        <v>207137163.88107139</v>
      </c>
      <c r="J70" s="82">
        <v>637122560.99272418</v>
      </c>
      <c r="K70" s="82">
        <v>97678265.503214389</v>
      </c>
      <c r="L70" s="82">
        <v>103899777.6646359</v>
      </c>
      <c r="M70" s="80">
        <v>-1748867.068575586</v>
      </c>
      <c r="N70" s="80">
        <v>153386658.53067666</v>
      </c>
      <c r="O70" s="80">
        <v>151637791.46210107</v>
      </c>
      <c r="P70" s="83">
        <v>485484769.53062308</v>
      </c>
      <c r="Q70" s="83">
        <v>3777664.6150043672</v>
      </c>
      <c r="R70" s="83">
        <v>0</v>
      </c>
      <c r="S70" s="83">
        <v>9999176.7764258757</v>
      </c>
      <c r="T70" s="1"/>
      <c r="U70" s="1"/>
      <c r="V70" s="78">
        <v>998603.65579944232</v>
      </c>
      <c r="Z70" s="38"/>
    </row>
    <row r="71" spans="1:26" s="31" customFormat="1" ht="15.5" x14ac:dyDescent="0.35">
      <c r="A71" s="5">
        <v>47119</v>
      </c>
      <c r="B71" s="75">
        <v>0</v>
      </c>
      <c r="C71" s="75">
        <v>0</v>
      </c>
      <c r="D71" s="75">
        <v>0</v>
      </c>
      <c r="E71" s="75">
        <v>94733465.186698422</v>
      </c>
      <c r="F71" s="74">
        <v>841314924.55727959</v>
      </c>
      <c r="G71" s="75">
        <v>4695929.1593369637</v>
      </c>
      <c r="H71" s="75">
        <v>1525583.0020845444</v>
      </c>
      <c r="I71" s="75">
        <v>213358676.0424929</v>
      </c>
      <c r="J71" s="8">
        <v>627956248.51478672</v>
      </c>
      <c r="K71" s="8">
        <v>94733465.186698422</v>
      </c>
      <c r="L71" s="8">
        <v>100954977.34811993</v>
      </c>
      <c r="M71" s="75">
        <v>-1748867.068575586</v>
      </c>
      <c r="N71" s="75">
        <v>151637791.46210107</v>
      </c>
      <c r="O71" s="75">
        <v>149888924.39352548</v>
      </c>
      <c r="P71" s="78">
        <v>478067324.12126124</v>
      </c>
      <c r="Q71" s="78">
        <v>3719947.8279591962</v>
      </c>
      <c r="R71" s="78">
        <v>0</v>
      </c>
      <c r="S71" s="78">
        <v>9941459.9893807042</v>
      </c>
      <c r="T71" s="1"/>
      <c r="U71" s="1"/>
      <c r="V71" s="78">
        <v>983346.559043054</v>
      </c>
      <c r="Z71" s="38"/>
    </row>
    <row r="72" spans="1:26" s="31" customFormat="1" ht="15.5" x14ac:dyDescent="0.35">
      <c r="A72" s="5">
        <v>47150</v>
      </c>
      <c r="B72" s="75">
        <v>0</v>
      </c>
      <c r="C72" s="75">
        <v>0</v>
      </c>
      <c r="D72" s="75">
        <v>0</v>
      </c>
      <c r="E72" s="75">
        <v>91788664.870182484</v>
      </c>
      <c r="F72" s="74">
        <v>838370124.24076366</v>
      </c>
      <c r="G72" s="75">
        <v>4695929.1593369637</v>
      </c>
      <c r="H72" s="75">
        <v>1525583.0020845444</v>
      </c>
      <c r="I72" s="75">
        <v>219580188.2039144</v>
      </c>
      <c r="J72" s="8">
        <v>618789936.03684926</v>
      </c>
      <c r="K72" s="8">
        <v>91788664.870182484</v>
      </c>
      <c r="L72" s="8">
        <v>98010177.031603992</v>
      </c>
      <c r="M72" s="75">
        <v>-1748867.068575586</v>
      </c>
      <c r="N72" s="75">
        <v>149888924.39352548</v>
      </c>
      <c r="O72" s="75">
        <v>148140057.32494989</v>
      </c>
      <c r="P72" s="78">
        <v>470649878.7118994</v>
      </c>
      <c r="Q72" s="78">
        <v>3662231.0409140252</v>
      </c>
      <c r="R72" s="78">
        <v>0</v>
      </c>
      <c r="S72" s="78">
        <v>9883743.2023355328</v>
      </c>
      <c r="T72" s="1"/>
      <c r="U72" s="1"/>
      <c r="V72" s="78">
        <v>968089.46228666592</v>
      </c>
      <c r="Z72" s="38"/>
    </row>
    <row r="73" spans="1:26" s="31" customFormat="1" ht="15.5" x14ac:dyDescent="0.35">
      <c r="A73" s="79">
        <v>47178</v>
      </c>
      <c r="B73" s="80">
        <v>0</v>
      </c>
      <c r="C73" s="80">
        <v>0</v>
      </c>
      <c r="D73" s="80">
        <v>0</v>
      </c>
      <c r="E73" s="80">
        <v>88843864.553666487</v>
      </c>
      <c r="F73" s="81">
        <v>835425323.92424762</v>
      </c>
      <c r="G73" s="80">
        <v>4695929.1593369637</v>
      </c>
      <c r="H73" s="80">
        <v>1525583.0020845444</v>
      </c>
      <c r="I73" s="80">
        <v>225801700.36533591</v>
      </c>
      <c r="J73" s="82">
        <v>609623623.55891168</v>
      </c>
      <c r="K73" s="82">
        <v>88843864.553666487</v>
      </c>
      <c r="L73" s="82">
        <v>95065376.715087995</v>
      </c>
      <c r="M73" s="80">
        <v>-1748867.068575586</v>
      </c>
      <c r="N73" s="80">
        <v>148140057.32494989</v>
      </c>
      <c r="O73" s="80">
        <v>146391190.2563743</v>
      </c>
      <c r="P73" s="83">
        <v>463232433.30253738</v>
      </c>
      <c r="Q73" s="83">
        <v>3604514.2538688532</v>
      </c>
      <c r="R73" s="83">
        <v>0</v>
      </c>
      <c r="S73" s="83">
        <v>9826026.4152903613</v>
      </c>
      <c r="T73" s="1"/>
      <c r="U73" s="1"/>
      <c r="V73" s="78">
        <v>952832.36553027725</v>
      </c>
      <c r="Z73" s="38"/>
    </row>
    <row r="74" spans="1:26" s="31" customFormat="1" ht="15.5" x14ac:dyDescent="0.35">
      <c r="A74" s="5">
        <v>47209</v>
      </c>
      <c r="B74" s="75">
        <v>0</v>
      </c>
      <c r="C74" s="75">
        <v>0</v>
      </c>
      <c r="D74" s="75">
        <v>0</v>
      </c>
      <c r="E74" s="75">
        <v>85899064.237150535</v>
      </c>
      <c r="F74" s="74">
        <v>832480523.6077317</v>
      </c>
      <c r="G74" s="75">
        <v>4695929.1593369637</v>
      </c>
      <c r="H74" s="75">
        <v>1525583.0020845444</v>
      </c>
      <c r="I74" s="75">
        <v>232023212.52675742</v>
      </c>
      <c r="J74" s="8">
        <v>600457311.08097422</v>
      </c>
      <c r="K74" s="8">
        <v>85899064.237150535</v>
      </c>
      <c r="L74" s="8">
        <v>92120576.398572043</v>
      </c>
      <c r="M74" s="75">
        <v>-1748867.068575586</v>
      </c>
      <c r="N74" s="75">
        <v>146391190.2563743</v>
      </c>
      <c r="O74" s="75">
        <v>144642323.18779871</v>
      </c>
      <c r="P74" s="78">
        <v>455814987.89317548</v>
      </c>
      <c r="Q74" s="78">
        <v>3546797.4668236817</v>
      </c>
      <c r="R74" s="78">
        <v>0</v>
      </c>
      <c r="S74" s="78">
        <v>9768309.6282451898</v>
      </c>
      <c r="T74" s="1"/>
      <c r="U74" s="1"/>
      <c r="V74" s="78">
        <v>937575.26877388905</v>
      </c>
      <c r="Z74" s="38"/>
    </row>
    <row r="75" spans="1:26" s="31" customFormat="1" ht="15.5" x14ac:dyDescent="0.35">
      <c r="A75" s="5">
        <v>47239</v>
      </c>
      <c r="B75" s="75">
        <v>0</v>
      </c>
      <c r="C75" s="75">
        <v>0</v>
      </c>
      <c r="D75" s="75">
        <v>0</v>
      </c>
      <c r="E75" s="75">
        <v>82954263.920634598</v>
      </c>
      <c r="F75" s="74">
        <v>829535723.29121578</v>
      </c>
      <c r="G75" s="75">
        <v>4695929.1593369637</v>
      </c>
      <c r="H75" s="75">
        <v>1525583.0020845444</v>
      </c>
      <c r="I75" s="75">
        <v>238244724.68817893</v>
      </c>
      <c r="J75" s="8">
        <v>591290998.60303688</v>
      </c>
      <c r="K75" s="8">
        <v>82954263.920634598</v>
      </c>
      <c r="L75" s="8">
        <v>89175776.082056105</v>
      </c>
      <c r="M75" s="75">
        <v>-1748867.068575586</v>
      </c>
      <c r="N75" s="75">
        <v>144642323.18779871</v>
      </c>
      <c r="O75" s="75">
        <v>142893456.11922312</v>
      </c>
      <c r="P75" s="78">
        <v>448397542.48381376</v>
      </c>
      <c r="Q75" s="78">
        <v>3489080.6797785121</v>
      </c>
      <c r="R75" s="78">
        <v>0</v>
      </c>
      <c r="S75" s="78">
        <v>9710592.8412000202</v>
      </c>
      <c r="T75" s="1"/>
      <c r="U75" s="1"/>
      <c r="V75" s="78">
        <v>922318.1720175012</v>
      </c>
      <c r="Z75" s="38"/>
    </row>
    <row r="76" spans="1:26" s="31" customFormat="1" ht="15.5" x14ac:dyDescent="0.35">
      <c r="A76" s="79">
        <v>47270</v>
      </c>
      <c r="B76" s="80">
        <v>0</v>
      </c>
      <c r="C76" s="80">
        <v>0</v>
      </c>
      <c r="D76" s="80">
        <v>0</v>
      </c>
      <c r="E76" s="80">
        <v>80009463.604118586</v>
      </c>
      <c r="F76" s="81">
        <v>826590922.97469974</v>
      </c>
      <c r="G76" s="80">
        <v>4695929.1593369637</v>
      </c>
      <c r="H76" s="80">
        <v>1525583.0020845444</v>
      </c>
      <c r="I76" s="80">
        <v>244466236.84960043</v>
      </c>
      <c r="J76" s="82">
        <v>582124686.1250993</v>
      </c>
      <c r="K76" s="82">
        <v>80009463.604118586</v>
      </c>
      <c r="L76" s="82">
        <v>86230975.765540093</v>
      </c>
      <c r="M76" s="80">
        <v>-1748867.068575586</v>
      </c>
      <c r="N76" s="80">
        <v>142893456.11922312</v>
      </c>
      <c r="O76" s="80">
        <v>141144589.05064753</v>
      </c>
      <c r="P76" s="83">
        <v>440980097.0744518</v>
      </c>
      <c r="Q76" s="83">
        <v>3431363.8927333402</v>
      </c>
      <c r="R76" s="83">
        <v>0</v>
      </c>
      <c r="S76" s="83">
        <v>9652876.0541548468</v>
      </c>
      <c r="T76" s="1"/>
      <c r="U76" s="1"/>
      <c r="V76" s="78">
        <v>907061.07526111277</v>
      </c>
      <c r="Z76" s="38"/>
    </row>
    <row r="77" spans="1:26" s="31" customFormat="1" ht="15.5" x14ac:dyDescent="0.35">
      <c r="A77" s="5">
        <v>47300</v>
      </c>
      <c r="B77" s="75">
        <v>0</v>
      </c>
      <c r="C77" s="75">
        <v>0</v>
      </c>
      <c r="D77" s="75">
        <v>0</v>
      </c>
      <c r="E77" s="75">
        <v>77064663.287602633</v>
      </c>
      <c r="F77" s="74">
        <v>823646122.65818381</v>
      </c>
      <c r="G77" s="75">
        <v>4695929.1593369637</v>
      </c>
      <c r="H77" s="75">
        <v>1525583.0020845444</v>
      </c>
      <c r="I77" s="75">
        <v>250687749.01102194</v>
      </c>
      <c r="J77" s="8">
        <v>572958373.64716184</v>
      </c>
      <c r="K77" s="8">
        <v>77064663.287602633</v>
      </c>
      <c r="L77" s="8">
        <v>83286175.449024141</v>
      </c>
      <c r="M77" s="75">
        <v>-1748867.068575586</v>
      </c>
      <c r="N77" s="75">
        <v>141144589.05064753</v>
      </c>
      <c r="O77" s="75">
        <v>139395721.98207194</v>
      </c>
      <c r="P77" s="78">
        <v>433562651.66508991</v>
      </c>
      <c r="Q77" s="78">
        <v>3373647.1056881691</v>
      </c>
      <c r="R77" s="78">
        <v>0</v>
      </c>
      <c r="S77" s="78">
        <v>9595159.2671096772</v>
      </c>
      <c r="T77" s="1"/>
      <c r="U77" s="1"/>
      <c r="V77" s="78">
        <v>891803.97850472445</v>
      </c>
      <c r="Z77" s="38"/>
    </row>
    <row r="78" spans="1:26" s="31" customFormat="1" ht="15.5" x14ac:dyDescent="0.35">
      <c r="A78" s="5">
        <v>47331</v>
      </c>
      <c r="B78" s="75">
        <v>0</v>
      </c>
      <c r="C78" s="75">
        <v>0</v>
      </c>
      <c r="D78" s="75">
        <v>0</v>
      </c>
      <c r="E78" s="75">
        <v>74119862.971086681</v>
      </c>
      <c r="F78" s="74">
        <v>820701322.34166789</v>
      </c>
      <c r="G78" s="75">
        <v>4695929.1593369637</v>
      </c>
      <c r="H78" s="75">
        <v>1525583.0020845444</v>
      </c>
      <c r="I78" s="75">
        <v>256909261.17244345</v>
      </c>
      <c r="J78" s="8">
        <v>563792061.16922438</v>
      </c>
      <c r="K78" s="8">
        <v>74119862.971086681</v>
      </c>
      <c r="L78" s="8">
        <v>80341375.132508188</v>
      </c>
      <c r="M78" s="75">
        <v>-1748867.068575586</v>
      </c>
      <c r="N78" s="75">
        <v>139395721.98207194</v>
      </c>
      <c r="O78" s="75">
        <v>137646854.91349635</v>
      </c>
      <c r="P78" s="78">
        <v>426145206.25572801</v>
      </c>
      <c r="Q78" s="78">
        <v>3315930.3186429976</v>
      </c>
      <c r="R78" s="78">
        <v>0</v>
      </c>
      <c r="S78" s="78">
        <v>9537442.4800645057</v>
      </c>
      <c r="T78" s="1"/>
      <c r="U78" s="1"/>
      <c r="V78" s="78">
        <v>876546.88174833625</v>
      </c>
      <c r="Z78" s="38"/>
    </row>
    <row r="79" spans="1:26" s="31" customFormat="1" ht="15.5" x14ac:dyDescent="0.35">
      <c r="A79" s="79">
        <v>47362</v>
      </c>
      <c r="B79" s="80">
        <v>0</v>
      </c>
      <c r="C79" s="80">
        <v>0</v>
      </c>
      <c r="D79" s="80">
        <v>0</v>
      </c>
      <c r="E79" s="80">
        <v>71175062.654570729</v>
      </c>
      <c r="F79" s="81">
        <v>817756522.02515185</v>
      </c>
      <c r="G79" s="80">
        <v>4695929.1593369637</v>
      </c>
      <c r="H79" s="80">
        <v>1525583.0020845444</v>
      </c>
      <c r="I79" s="80">
        <v>263130773.33386496</v>
      </c>
      <c r="J79" s="82">
        <v>554625748.69128692</v>
      </c>
      <c r="K79" s="82">
        <v>71175062.654570729</v>
      </c>
      <c r="L79" s="82">
        <v>77396574.815992236</v>
      </c>
      <c r="M79" s="80">
        <v>-1748867.068575586</v>
      </c>
      <c r="N79" s="80">
        <v>137646854.91349635</v>
      </c>
      <c r="O79" s="80">
        <v>135897987.84492075</v>
      </c>
      <c r="P79" s="83">
        <v>418727760.84636617</v>
      </c>
      <c r="Q79" s="83">
        <v>3258213.5315978271</v>
      </c>
      <c r="R79" s="83">
        <v>0</v>
      </c>
      <c r="S79" s="83">
        <v>9479725.6930193342</v>
      </c>
      <c r="T79" s="1"/>
      <c r="U79" s="1"/>
      <c r="V79" s="78">
        <v>861289.78499194805</v>
      </c>
      <c r="Z79" s="38"/>
    </row>
    <row r="80" spans="1:26" s="31" customFormat="1" ht="15.5" x14ac:dyDescent="0.35">
      <c r="A80" s="5">
        <v>47392</v>
      </c>
      <c r="B80" s="75">
        <v>0</v>
      </c>
      <c r="C80" s="75">
        <v>0</v>
      </c>
      <c r="D80" s="75">
        <v>0</v>
      </c>
      <c r="E80" s="75">
        <v>68230262.338054761</v>
      </c>
      <c r="F80" s="74">
        <v>814811721.70863593</v>
      </c>
      <c r="G80" s="75">
        <v>4695929.1593369637</v>
      </c>
      <c r="H80" s="75">
        <v>1525583.0020845444</v>
      </c>
      <c r="I80" s="75">
        <v>269352285.49528646</v>
      </c>
      <c r="J80" s="8">
        <v>545459436.21334946</v>
      </c>
      <c r="K80" s="8">
        <v>68230262.338054761</v>
      </c>
      <c r="L80" s="8">
        <v>74451774.499476269</v>
      </c>
      <c r="M80" s="75">
        <v>-1748867.068575586</v>
      </c>
      <c r="N80" s="75">
        <v>135897987.84492075</v>
      </c>
      <c r="O80" s="75">
        <v>134149120.77634516</v>
      </c>
      <c r="P80" s="78">
        <v>411310315.43700433</v>
      </c>
      <c r="Q80" s="78">
        <v>3200496.7445526561</v>
      </c>
      <c r="R80" s="78">
        <v>0</v>
      </c>
      <c r="S80" s="78">
        <v>9422008.9059741646</v>
      </c>
      <c r="T80" s="1"/>
      <c r="U80" s="1"/>
      <c r="V80" s="78">
        <v>846032.68823555985</v>
      </c>
      <c r="Z80" s="38"/>
    </row>
    <row r="81" spans="1:26" s="31" customFormat="1" ht="15.5" x14ac:dyDescent="0.35">
      <c r="A81" s="5">
        <v>47423</v>
      </c>
      <c r="B81" s="75">
        <v>0</v>
      </c>
      <c r="C81" s="75">
        <v>0</v>
      </c>
      <c r="D81" s="75">
        <v>0</v>
      </c>
      <c r="E81" s="75">
        <v>65285462.021538801</v>
      </c>
      <c r="F81" s="74">
        <v>811866921.39212</v>
      </c>
      <c r="G81" s="75">
        <v>4695929.1593369637</v>
      </c>
      <c r="H81" s="75">
        <v>1525583.0020845444</v>
      </c>
      <c r="I81" s="75">
        <v>275573797.656708</v>
      </c>
      <c r="J81" s="8">
        <v>536293123.73541194</v>
      </c>
      <c r="K81" s="8">
        <v>65285462.021538801</v>
      </c>
      <c r="L81" s="8">
        <v>71506974.182960302</v>
      </c>
      <c r="M81" s="75">
        <v>-1748867.0685755839</v>
      </c>
      <c r="N81" s="75">
        <v>134149120.77634516</v>
      </c>
      <c r="O81" s="75">
        <v>132400253.70776957</v>
      </c>
      <c r="P81" s="78">
        <v>403892870.02764237</v>
      </c>
      <c r="Q81" s="78">
        <v>3142779.9575074846</v>
      </c>
      <c r="R81" s="78">
        <v>0</v>
      </c>
      <c r="S81" s="78">
        <v>9364292.1189289913</v>
      </c>
      <c r="T81" s="1"/>
      <c r="U81" s="1"/>
      <c r="V81" s="78">
        <v>830775.59147917153</v>
      </c>
      <c r="Z81" s="38"/>
    </row>
    <row r="82" spans="1:26" s="31" customFormat="1" ht="15.5" x14ac:dyDescent="0.35">
      <c r="A82" s="79">
        <v>47453</v>
      </c>
      <c r="B82" s="80">
        <v>0</v>
      </c>
      <c r="C82" s="80">
        <v>0</v>
      </c>
      <c r="D82" s="80">
        <v>0</v>
      </c>
      <c r="E82" s="80">
        <v>62340661.705022834</v>
      </c>
      <c r="F82" s="81">
        <v>808922121.07560396</v>
      </c>
      <c r="G82" s="80">
        <v>4695929.1593369637</v>
      </c>
      <c r="H82" s="80">
        <v>1525583.0020845444</v>
      </c>
      <c r="I82" s="80">
        <v>281795309.81812954</v>
      </c>
      <c r="J82" s="82">
        <v>527126811.25747442</v>
      </c>
      <c r="K82" s="82">
        <v>62340661.705022834</v>
      </c>
      <c r="L82" s="82">
        <v>68562173.866444349</v>
      </c>
      <c r="M82" s="80">
        <v>-1748867.0685755881</v>
      </c>
      <c r="N82" s="80">
        <v>132400253.70776957</v>
      </c>
      <c r="O82" s="80">
        <v>130651386.63919398</v>
      </c>
      <c r="P82" s="83">
        <v>396475424.61828041</v>
      </c>
      <c r="Q82" s="83">
        <v>3085063.1704623126</v>
      </c>
      <c r="R82" s="83">
        <v>0</v>
      </c>
      <c r="S82" s="83">
        <v>9306575.3318838198</v>
      </c>
      <c r="T82" s="1"/>
      <c r="U82" s="1"/>
      <c r="V82" s="78">
        <v>815518.4947227831</v>
      </c>
      <c r="Z82" s="38"/>
    </row>
    <row r="83" spans="1:26" s="31" customFormat="1" ht="15.5" x14ac:dyDescent="0.35">
      <c r="A83" s="5">
        <v>47484</v>
      </c>
      <c r="B83" s="75">
        <v>0</v>
      </c>
      <c r="C83" s="75">
        <v>0</v>
      </c>
      <c r="D83" s="75">
        <v>0</v>
      </c>
      <c r="E83" s="75">
        <v>59395861.388506867</v>
      </c>
      <c r="F83" s="74">
        <v>805977320.75908804</v>
      </c>
      <c r="G83" s="75">
        <v>4695929.1593369637</v>
      </c>
      <c r="H83" s="75">
        <v>1525583.0020845444</v>
      </c>
      <c r="I83" s="75">
        <v>288016821.97955108</v>
      </c>
      <c r="J83" s="8">
        <v>517960498.77953696</v>
      </c>
      <c r="K83" s="8">
        <v>59395861.388506867</v>
      </c>
      <c r="L83" s="8">
        <v>65617373.549928375</v>
      </c>
      <c r="M83" s="75">
        <v>-1748867.068575586</v>
      </c>
      <c r="N83" s="75">
        <v>130651386.63919398</v>
      </c>
      <c r="O83" s="75">
        <v>128902519.57061839</v>
      </c>
      <c r="P83" s="78">
        <v>389057979.20891857</v>
      </c>
      <c r="Q83" s="78">
        <v>3027346.3834171416</v>
      </c>
      <c r="R83" s="78">
        <v>0</v>
      </c>
      <c r="S83" s="78">
        <v>9248858.5448386483</v>
      </c>
      <c r="T83" s="1"/>
      <c r="U83" s="1"/>
      <c r="V83" s="78">
        <v>800261.39796639478</v>
      </c>
      <c r="Z83" s="38"/>
    </row>
    <row r="84" spans="1:26" s="31" customFormat="1" ht="15.5" x14ac:dyDescent="0.35">
      <c r="A84" s="5">
        <v>47515</v>
      </c>
      <c r="B84" s="75">
        <v>0</v>
      </c>
      <c r="C84" s="75">
        <v>0</v>
      </c>
      <c r="D84" s="75">
        <v>0</v>
      </c>
      <c r="E84" s="75">
        <v>56496837.465358742</v>
      </c>
      <c r="F84" s="74">
        <v>803078296.83593988</v>
      </c>
      <c r="G84" s="75">
        <v>4695929.1593369637</v>
      </c>
      <c r="H84" s="75">
        <v>1525583.0020845444</v>
      </c>
      <c r="I84" s="75">
        <v>294238334.14097261</v>
      </c>
      <c r="J84" s="8">
        <v>508839962.69496727</v>
      </c>
      <c r="K84" s="8">
        <v>56496837.465358742</v>
      </c>
      <c r="L84" s="8">
        <v>62718349.626780249</v>
      </c>
      <c r="M84" s="75">
        <v>-1748867.068575586</v>
      </c>
      <c r="N84" s="75">
        <v>128902519.57061839</v>
      </c>
      <c r="O84" s="75">
        <v>127153652.5020428</v>
      </c>
      <c r="P84" s="78">
        <v>381686310.1929245</v>
      </c>
      <c r="Q84" s="78">
        <v>2969985.7926365728</v>
      </c>
      <c r="R84" s="78">
        <v>0</v>
      </c>
      <c r="S84" s="78">
        <v>9191497.9540580809</v>
      </c>
      <c r="T84" s="1"/>
      <c r="U84" s="1"/>
      <c r="V84" s="78">
        <v>785098.45961957041</v>
      </c>
      <c r="Z84" s="38"/>
    </row>
    <row r="85" spans="1:26" s="31" customFormat="1" ht="15.5" x14ac:dyDescent="0.35">
      <c r="A85" s="79">
        <v>47543</v>
      </c>
      <c r="B85" s="80">
        <v>0</v>
      </c>
      <c r="C85" s="80">
        <v>0</v>
      </c>
      <c r="D85" s="80">
        <v>0</v>
      </c>
      <c r="E85" s="80">
        <v>53643589.935578451</v>
      </c>
      <c r="F85" s="81">
        <v>800225049.30615962</v>
      </c>
      <c r="G85" s="80">
        <v>4695929.1593369637</v>
      </c>
      <c r="H85" s="80">
        <v>1525583.0020845444</v>
      </c>
      <c r="I85" s="80">
        <v>300459846.30239415</v>
      </c>
      <c r="J85" s="82">
        <v>499765203.00376546</v>
      </c>
      <c r="K85" s="82">
        <v>53643589.935578451</v>
      </c>
      <c r="L85" s="82">
        <v>59865102.096999958</v>
      </c>
      <c r="M85" s="80">
        <v>-1748867.068575586</v>
      </c>
      <c r="N85" s="80">
        <v>127153652.5020428</v>
      </c>
      <c r="O85" s="80">
        <v>125404785.43346721</v>
      </c>
      <c r="P85" s="83">
        <v>374360417.57029825</v>
      </c>
      <c r="Q85" s="83">
        <v>2912981.3981206063</v>
      </c>
      <c r="R85" s="83">
        <v>0</v>
      </c>
      <c r="S85" s="83">
        <v>9134493.5595421139</v>
      </c>
      <c r="T85" s="1"/>
      <c r="U85" s="1"/>
      <c r="V85" s="78">
        <v>770029.67968230962</v>
      </c>
      <c r="Z85" s="38"/>
    </row>
    <row r="86" spans="1:26" s="31" customFormat="1" ht="15.5" x14ac:dyDescent="0.35">
      <c r="A86" s="5">
        <v>47574</v>
      </c>
      <c r="B86" s="75">
        <v>0</v>
      </c>
      <c r="C86" s="75">
        <v>0</v>
      </c>
      <c r="D86" s="75">
        <v>0</v>
      </c>
      <c r="E86" s="75">
        <v>50836118.799165986</v>
      </c>
      <c r="F86" s="74">
        <v>797417578.16974711</v>
      </c>
      <c r="G86" s="75">
        <v>4695929.1593369637</v>
      </c>
      <c r="H86" s="75">
        <v>1525583.0020845444</v>
      </c>
      <c r="I86" s="75">
        <v>306681358.46381569</v>
      </c>
      <c r="J86" s="8">
        <v>490736219.70593143</v>
      </c>
      <c r="K86" s="8">
        <v>50836118.799165986</v>
      </c>
      <c r="L86" s="8">
        <v>57057630.960587494</v>
      </c>
      <c r="M86" s="75">
        <v>-1748867.068575586</v>
      </c>
      <c r="N86" s="75">
        <v>125404785.43346721</v>
      </c>
      <c r="O86" s="75">
        <v>123655918.36489162</v>
      </c>
      <c r="P86" s="78">
        <v>367080301.34103978</v>
      </c>
      <c r="Q86" s="78">
        <v>2856333.199869242</v>
      </c>
      <c r="R86" s="78">
        <v>0</v>
      </c>
      <c r="S86" s="78">
        <v>9077845.3612907492</v>
      </c>
      <c r="T86" s="1"/>
      <c r="U86" s="1"/>
      <c r="V86" s="78">
        <v>755055.05815461243</v>
      </c>
      <c r="Z86" s="38"/>
    </row>
    <row r="87" spans="1:26" s="31" customFormat="1" ht="15.5" x14ac:dyDescent="0.35">
      <c r="A87" s="5">
        <v>47604</v>
      </c>
      <c r="B87" s="75">
        <v>0</v>
      </c>
      <c r="C87" s="75">
        <v>0</v>
      </c>
      <c r="D87" s="75">
        <v>0</v>
      </c>
      <c r="E87" s="75">
        <v>48074424.056121379</v>
      </c>
      <c r="F87" s="74">
        <v>794655883.4267025</v>
      </c>
      <c r="G87" s="75">
        <v>4695929.1593369637</v>
      </c>
      <c r="H87" s="75">
        <v>1525583.0020845444</v>
      </c>
      <c r="I87" s="75">
        <v>312902870.62523723</v>
      </c>
      <c r="J87" s="8">
        <v>481753012.80146527</v>
      </c>
      <c r="K87" s="8">
        <v>48074424.056121379</v>
      </c>
      <c r="L87" s="8">
        <v>54295936.217542887</v>
      </c>
      <c r="M87" s="75">
        <v>-1748867.068575586</v>
      </c>
      <c r="N87" s="75">
        <v>123655918.36489162</v>
      </c>
      <c r="O87" s="75">
        <v>121907051.29631603</v>
      </c>
      <c r="P87" s="78">
        <v>359845961.50514925</v>
      </c>
      <c r="Q87" s="78">
        <v>2800041.1978824805</v>
      </c>
      <c r="R87" s="78">
        <v>0</v>
      </c>
      <c r="S87" s="78">
        <v>9021553.3593039885</v>
      </c>
      <c r="T87" s="1"/>
      <c r="U87" s="1"/>
      <c r="V87" s="78">
        <v>740174.59503647918</v>
      </c>
      <c r="Z87" s="38"/>
    </row>
    <row r="88" spans="1:26" s="31" customFormat="1" ht="15.5" x14ac:dyDescent="0.35">
      <c r="A88" s="79">
        <v>47635</v>
      </c>
      <c r="B88" s="80">
        <v>0</v>
      </c>
      <c r="C88" s="80">
        <v>0</v>
      </c>
      <c r="D88" s="80">
        <v>0</v>
      </c>
      <c r="E88" s="80">
        <v>45358505.706444569</v>
      </c>
      <c r="F88" s="81">
        <v>791939965.07702577</v>
      </c>
      <c r="G88" s="80">
        <v>4695929.1593369637</v>
      </c>
      <c r="H88" s="80">
        <v>1525583.0020845444</v>
      </c>
      <c r="I88" s="80">
        <v>319124382.78665876</v>
      </c>
      <c r="J88" s="82">
        <v>472815582.29036695</v>
      </c>
      <c r="K88" s="82">
        <v>45358505.706444569</v>
      </c>
      <c r="L88" s="82">
        <v>51580017.867866077</v>
      </c>
      <c r="M88" s="80">
        <v>-1748867.068575586</v>
      </c>
      <c r="N88" s="80">
        <v>121907051.29631603</v>
      </c>
      <c r="O88" s="80">
        <v>120158184.22774044</v>
      </c>
      <c r="P88" s="83">
        <v>352657398.06262648</v>
      </c>
      <c r="Q88" s="83">
        <v>2744105.3921603211</v>
      </c>
      <c r="R88" s="83">
        <v>0</v>
      </c>
      <c r="S88" s="83">
        <v>8965617.5535818283</v>
      </c>
      <c r="T88" s="1"/>
      <c r="U88" s="1"/>
      <c r="V88" s="78">
        <v>725388.29032790975</v>
      </c>
      <c r="Z88" s="38"/>
    </row>
    <row r="89" spans="1:26" s="31" customFormat="1" ht="15.5" x14ac:dyDescent="0.35">
      <c r="A89" s="5">
        <v>47665</v>
      </c>
      <c r="B89" s="75">
        <v>0</v>
      </c>
      <c r="C89" s="75">
        <v>0</v>
      </c>
      <c r="D89" s="75">
        <v>0</v>
      </c>
      <c r="E89" s="75">
        <v>42688363.750135615</v>
      </c>
      <c r="F89" s="74">
        <v>789269823.12071681</v>
      </c>
      <c r="G89" s="75">
        <v>4695929.1593369637</v>
      </c>
      <c r="H89" s="75">
        <v>1525583.0020845444</v>
      </c>
      <c r="I89" s="75">
        <v>325345894.9480803</v>
      </c>
      <c r="J89" s="8">
        <v>463923928.17263645</v>
      </c>
      <c r="K89" s="8">
        <v>42688363.750135615</v>
      </c>
      <c r="L89" s="8">
        <v>48909875.911557123</v>
      </c>
      <c r="M89" s="75">
        <v>-1748867.068575586</v>
      </c>
      <c r="N89" s="75">
        <v>120158184.22774044</v>
      </c>
      <c r="O89" s="75">
        <v>118409317.15916485</v>
      </c>
      <c r="P89" s="78">
        <v>345514611.0134716</v>
      </c>
      <c r="Q89" s="78">
        <v>2688525.782702765</v>
      </c>
      <c r="R89" s="78">
        <v>0</v>
      </c>
      <c r="S89" s="78">
        <v>8910037.9441242721</v>
      </c>
      <c r="T89" s="1"/>
      <c r="U89" s="1"/>
      <c r="V89" s="78">
        <v>710696.14402890392</v>
      </c>
      <c r="Z89" s="38"/>
    </row>
    <row r="90" spans="1:26" s="31" customFormat="1" ht="15.5" x14ac:dyDescent="0.35">
      <c r="A90" s="5">
        <v>47696</v>
      </c>
      <c r="B90" s="75">
        <v>0</v>
      </c>
      <c r="C90" s="75">
        <v>0</v>
      </c>
      <c r="D90" s="75">
        <v>0</v>
      </c>
      <c r="E90" s="75">
        <v>40063998.187194496</v>
      </c>
      <c r="F90" s="74">
        <v>786645457.55777562</v>
      </c>
      <c r="G90" s="75">
        <v>4695929.1593369637</v>
      </c>
      <c r="H90" s="75">
        <v>1525583.0020845444</v>
      </c>
      <c r="I90" s="75">
        <v>331567407.10950184</v>
      </c>
      <c r="J90" s="8">
        <v>455078050.44827378</v>
      </c>
      <c r="K90" s="8">
        <v>40063998.187194496</v>
      </c>
      <c r="L90" s="8">
        <v>46285510.348616004</v>
      </c>
      <c r="M90" s="75">
        <v>-1748867.068575586</v>
      </c>
      <c r="N90" s="75">
        <v>118409317.15916485</v>
      </c>
      <c r="O90" s="75">
        <v>116660450.09058926</v>
      </c>
      <c r="P90" s="78">
        <v>338417600.35768449</v>
      </c>
      <c r="Q90" s="78">
        <v>2633302.3695098101</v>
      </c>
      <c r="R90" s="78">
        <v>0</v>
      </c>
      <c r="S90" s="78">
        <v>8854814.5309313182</v>
      </c>
      <c r="T90" s="1"/>
      <c r="U90" s="1"/>
      <c r="V90" s="78">
        <v>696098.15613946191</v>
      </c>
      <c r="Z90" s="38"/>
    </row>
    <row r="91" spans="1:26" s="31" customFormat="1" ht="15.5" x14ac:dyDescent="0.35">
      <c r="A91" s="79">
        <v>47727</v>
      </c>
      <c r="B91" s="80">
        <v>0</v>
      </c>
      <c r="C91" s="80">
        <v>0</v>
      </c>
      <c r="D91" s="80">
        <v>0</v>
      </c>
      <c r="E91" s="80">
        <v>37485409.017621197</v>
      </c>
      <c r="F91" s="81">
        <v>784066868.38820231</v>
      </c>
      <c r="G91" s="80">
        <v>4695929.1593369637</v>
      </c>
      <c r="H91" s="80">
        <v>1525583.0020845444</v>
      </c>
      <c r="I91" s="80">
        <v>337788919.27092338</v>
      </c>
      <c r="J91" s="82">
        <v>446277949.11727899</v>
      </c>
      <c r="K91" s="82">
        <v>37485409.017621197</v>
      </c>
      <c r="L91" s="82">
        <v>43706921.179042704</v>
      </c>
      <c r="M91" s="80">
        <v>-1748867.068575586</v>
      </c>
      <c r="N91" s="80">
        <v>116660450.09058926</v>
      </c>
      <c r="O91" s="80">
        <v>114911583.02201366</v>
      </c>
      <c r="P91" s="83">
        <v>331366366.09526533</v>
      </c>
      <c r="Q91" s="83">
        <v>2578435.1525814589</v>
      </c>
      <c r="R91" s="83">
        <v>0</v>
      </c>
      <c r="S91" s="83">
        <v>8799947.3140029665</v>
      </c>
      <c r="T91" s="1"/>
      <c r="U91" s="1"/>
      <c r="V91" s="78">
        <v>681594.32665958384</v>
      </c>
      <c r="Z91" s="38"/>
    </row>
    <row r="92" spans="1:26" s="31" customFormat="1" ht="15.5" x14ac:dyDescent="0.35">
      <c r="A92" s="5">
        <v>47757</v>
      </c>
      <c r="B92" s="75">
        <v>0</v>
      </c>
      <c r="C92" s="75">
        <v>0</v>
      </c>
      <c r="D92" s="75">
        <v>0</v>
      </c>
      <c r="E92" s="75">
        <v>34952596.241415747</v>
      </c>
      <c r="F92" s="74">
        <v>781534055.61199689</v>
      </c>
      <c r="G92" s="75">
        <v>4695929.1593369637</v>
      </c>
      <c r="H92" s="75">
        <v>1525583.0020845444</v>
      </c>
      <c r="I92" s="75">
        <v>344010431.43234491</v>
      </c>
      <c r="J92" s="8">
        <v>437523624.17965198</v>
      </c>
      <c r="K92" s="8">
        <v>34952596.241415747</v>
      </c>
      <c r="L92" s="8">
        <v>41174108.402837254</v>
      </c>
      <c r="M92" s="75">
        <v>-1748867.068575586</v>
      </c>
      <c r="N92" s="75">
        <v>114911583.02201366</v>
      </c>
      <c r="O92" s="75">
        <v>113162715.95343807</v>
      </c>
      <c r="P92" s="78">
        <v>324360908.22621393</v>
      </c>
      <c r="Q92" s="78">
        <v>2523924.13191771</v>
      </c>
      <c r="R92" s="78">
        <v>0</v>
      </c>
      <c r="S92" s="78">
        <v>8745436.2933392171</v>
      </c>
      <c r="T92" s="1"/>
      <c r="U92" s="1"/>
      <c r="V92" s="78">
        <v>667184.65558926936</v>
      </c>
      <c r="Z92" s="38"/>
    </row>
    <row r="93" spans="1:26" s="31" customFormat="1" ht="15.5" x14ac:dyDescent="0.35">
      <c r="A93" s="5">
        <v>47788</v>
      </c>
      <c r="B93" s="75">
        <v>0</v>
      </c>
      <c r="C93" s="75">
        <v>0</v>
      </c>
      <c r="D93" s="75">
        <v>0</v>
      </c>
      <c r="E93" s="75">
        <v>32465559.858578134</v>
      </c>
      <c r="F93" s="74">
        <v>779047019.22915924</v>
      </c>
      <c r="G93" s="75">
        <v>4695929.1593369637</v>
      </c>
      <c r="H93" s="75">
        <v>1525583.0020845444</v>
      </c>
      <c r="I93" s="75">
        <v>350231943.59376645</v>
      </c>
      <c r="J93" s="8">
        <v>428815075.63539284</v>
      </c>
      <c r="K93" s="8">
        <v>32465559.858578134</v>
      </c>
      <c r="L93" s="8">
        <v>38687072.019999638</v>
      </c>
      <c r="M93" s="75">
        <v>-1748867.0685755848</v>
      </c>
      <c r="N93" s="75">
        <v>113162715.95343807</v>
      </c>
      <c r="O93" s="75">
        <v>111413848.88486248</v>
      </c>
      <c r="P93" s="78">
        <v>317401226.75053036</v>
      </c>
      <c r="Q93" s="78">
        <v>2469769.3075185628</v>
      </c>
      <c r="R93" s="78">
        <v>0</v>
      </c>
      <c r="S93" s="78">
        <v>8691281.4689400699</v>
      </c>
      <c r="T93" s="1"/>
      <c r="U93" s="1"/>
      <c r="V93" s="78">
        <v>652869.1429285187</v>
      </c>
      <c r="Z93" s="38"/>
    </row>
    <row r="94" spans="1:26" s="31" customFormat="1" ht="15.5" x14ac:dyDescent="0.35">
      <c r="A94" s="79">
        <v>47818</v>
      </c>
      <c r="B94" s="80">
        <v>0</v>
      </c>
      <c r="C94" s="80">
        <v>0</v>
      </c>
      <c r="D94" s="80">
        <v>0</v>
      </c>
      <c r="E94" s="80">
        <v>30024299.869108349</v>
      </c>
      <c r="F94" s="81">
        <v>776605759.23968947</v>
      </c>
      <c r="G94" s="80">
        <v>4695929.1593369637</v>
      </c>
      <c r="H94" s="80">
        <v>1525583.0020845444</v>
      </c>
      <c r="I94" s="80">
        <v>356453455.75518799</v>
      </c>
      <c r="J94" s="82">
        <v>420152303.48450148</v>
      </c>
      <c r="K94" s="82">
        <v>30024299.869108349</v>
      </c>
      <c r="L94" s="82">
        <v>36245812.030529857</v>
      </c>
      <c r="M94" s="80">
        <v>-1748867.068575586</v>
      </c>
      <c r="N94" s="80">
        <v>111413848.88486248</v>
      </c>
      <c r="O94" s="80">
        <v>109664981.81628689</v>
      </c>
      <c r="P94" s="83">
        <v>310487321.66821456</v>
      </c>
      <c r="Q94" s="83">
        <v>2415970.6793840178</v>
      </c>
      <c r="R94" s="83">
        <v>0</v>
      </c>
      <c r="S94" s="83">
        <v>8637482.840805525</v>
      </c>
      <c r="T94" s="1"/>
      <c r="U94" s="1"/>
      <c r="V94" s="78">
        <v>638647.78867733164</v>
      </c>
      <c r="Z94" s="38"/>
    </row>
    <row r="95" spans="1:26" s="31" customFormat="1" ht="15.5" x14ac:dyDescent="0.35">
      <c r="A95" s="5">
        <v>47849</v>
      </c>
      <c r="B95" s="75">
        <v>0</v>
      </c>
      <c r="C95" s="75">
        <v>0</v>
      </c>
      <c r="D95" s="75">
        <v>0</v>
      </c>
      <c r="E95" s="75">
        <v>27628816.273006398</v>
      </c>
      <c r="F95" s="74">
        <v>774210275.64358759</v>
      </c>
      <c r="G95" s="75">
        <v>4695929.1593369637</v>
      </c>
      <c r="H95" s="75">
        <v>1525583.0020845444</v>
      </c>
      <c r="I95" s="75">
        <v>362674967.91660953</v>
      </c>
      <c r="J95" s="8">
        <v>411535307.726978</v>
      </c>
      <c r="K95" s="8">
        <v>27628816.273006398</v>
      </c>
      <c r="L95" s="8">
        <v>33850328.434427902</v>
      </c>
      <c r="M95" s="75">
        <v>-1748867.0685755848</v>
      </c>
      <c r="N95" s="75">
        <v>109664981.81628689</v>
      </c>
      <c r="O95" s="75">
        <v>107916114.7477113</v>
      </c>
      <c r="P95" s="78">
        <v>303619192.9792667</v>
      </c>
      <c r="Q95" s="78">
        <v>2362528.2475140761</v>
      </c>
      <c r="R95" s="78">
        <v>0</v>
      </c>
      <c r="S95" s="78">
        <v>8584040.4089355841</v>
      </c>
      <c r="T95" s="1"/>
      <c r="U95" s="1"/>
      <c r="V95" s="78">
        <v>624520.59283570864</v>
      </c>
      <c r="Z95" s="38"/>
    </row>
    <row r="96" spans="1:26" s="31" customFormat="1" ht="15.5" x14ac:dyDescent="0.35">
      <c r="A96" s="5">
        <v>47880</v>
      </c>
      <c r="B96" s="75">
        <v>0</v>
      </c>
      <c r="C96" s="75">
        <v>0</v>
      </c>
      <c r="D96" s="75">
        <v>0</v>
      </c>
      <c r="E96" s="75">
        <v>25332583.695368174</v>
      </c>
      <c r="F96" s="74">
        <v>771914043.06594932</v>
      </c>
      <c r="G96" s="75">
        <v>4695929.1593369637</v>
      </c>
      <c r="H96" s="75">
        <v>1525583.0020845444</v>
      </c>
      <c r="I96" s="75">
        <v>368896480.07803106</v>
      </c>
      <c r="J96" s="8">
        <v>403017562.98791826</v>
      </c>
      <c r="K96" s="8">
        <v>25332583.695368174</v>
      </c>
      <c r="L96" s="8">
        <v>31554095.856789682</v>
      </c>
      <c r="M96" s="75">
        <v>-1748867.068575586</v>
      </c>
      <c r="N96" s="75">
        <v>107916114.7477113</v>
      </c>
      <c r="O96" s="75">
        <v>106167247.67913571</v>
      </c>
      <c r="P96" s="78">
        <v>296850315.30878258</v>
      </c>
      <c r="Q96" s="78">
        <v>2309858.1098209759</v>
      </c>
      <c r="R96" s="78">
        <v>0</v>
      </c>
      <c r="S96" s="78">
        <v>8531370.2712424845</v>
      </c>
      <c r="T96" s="1"/>
      <c r="U96" s="1"/>
      <c r="V96" s="78">
        <v>610597.54846515122</v>
      </c>
      <c r="Z96" s="38"/>
    </row>
    <row r="97" spans="1:26" s="31" customFormat="1" ht="15.5" x14ac:dyDescent="0.35">
      <c r="A97" s="79">
        <v>47908</v>
      </c>
      <c r="B97" s="80">
        <v>0</v>
      </c>
      <c r="C97" s="80">
        <v>0</v>
      </c>
      <c r="D97" s="80">
        <v>0</v>
      </c>
      <c r="E97" s="80">
        <v>23135602.136193685</v>
      </c>
      <c r="F97" s="81">
        <v>769717061.50677478</v>
      </c>
      <c r="G97" s="80">
        <v>4695929.1593369637</v>
      </c>
      <c r="H97" s="80">
        <v>1525583.0020845444</v>
      </c>
      <c r="I97" s="80">
        <v>375117992.2394526</v>
      </c>
      <c r="J97" s="82">
        <v>394599069.26732224</v>
      </c>
      <c r="K97" s="82">
        <v>23135602.136193685</v>
      </c>
      <c r="L97" s="82">
        <v>29357114.297615193</v>
      </c>
      <c r="M97" s="80">
        <v>-1748867.068575586</v>
      </c>
      <c r="N97" s="80">
        <v>106167247.67913571</v>
      </c>
      <c r="O97" s="80">
        <v>104418380.61056012</v>
      </c>
      <c r="P97" s="83">
        <v>290180688.65676212</v>
      </c>
      <c r="Q97" s="83">
        <v>2257960.266304716</v>
      </c>
      <c r="R97" s="83">
        <v>0</v>
      </c>
      <c r="S97" s="83">
        <v>8479472.4277262241</v>
      </c>
      <c r="T97" s="1"/>
      <c r="U97" s="1"/>
      <c r="V97" s="78">
        <v>596878.65556565963</v>
      </c>
      <c r="Z97" s="38"/>
    </row>
    <row r="98" spans="1:26" s="31" customFormat="1" ht="15.5" x14ac:dyDescent="0.35">
      <c r="A98" s="5">
        <v>47939</v>
      </c>
      <c r="B98" s="75">
        <v>0</v>
      </c>
      <c r="C98" s="75">
        <v>0</v>
      </c>
      <c r="D98" s="75">
        <v>0</v>
      </c>
      <c r="E98" s="75">
        <v>21037871.595482945</v>
      </c>
      <c r="F98" s="74">
        <v>767619330.9660641</v>
      </c>
      <c r="G98" s="75">
        <v>4695929.1593369637</v>
      </c>
      <c r="H98" s="75">
        <v>1525583.0020845444</v>
      </c>
      <c r="I98" s="75">
        <v>381339504.40087414</v>
      </c>
      <c r="J98" s="8">
        <v>386279826.56518996</v>
      </c>
      <c r="K98" s="8">
        <v>21037871.595482945</v>
      </c>
      <c r="L98" s="8">
        <v>27259383.756904453</v>
      </c>
      <c r="M98" s="75">
        <v>-1748867.068575586</v>
      </c>
      <c r="N98" s="75">
        <v>104418380.61056012</v>
      </c>
      <c r="O98" s="75">
        <v>102669513.54198453</v>
      </c>
      <c r="P98" s="78">
        <v>283610313.0232054</v>
      </c>
      <c r="Q98" s="78">
        <v>2206834.7169652972</v>
      </c>
      <c r="R98" s="78">
        <v>0</v>
      </c>
      <c r="S98" s="78">
        <v>8428346.8783868048</v>
      </c>
      <c r="T98" s="1"/>
      <c r="U98" s="1"/>
      <c r="V98" s="78">
        <v>583363.91413723363</v>
      </c>
      <c r="Z98" s="38"/>
    </row>
    <row r="99" spans="1:26" s="31" customFormat="1" ht="15.5" x14ac:dyDescent="0.35">
      <c r="A99" s="5">
        <v>47969</v>
      </c>
      <c r="B99" s="75">
        <v>0</v>
      </c>
      <c r="C99" s="75">
        <v>0</v>
      </c>
      <c r="D99" s="75">
        <v>0</v>
      </c>
      <c r="E99" s="75">
        <v>19039392.073235936</v>
      </c>
      <c r="F99" s="74">
        <v>765620851.44381714</v>
      </c>
      <c r="G99" s="75">
        <v>4695929.1593369637</v>
      </c>
      <c r="H99" s="75">
        <v>1525583.0020845444</v>
      </c>
      <c r="I99" s="75">
        <v>387561016.56229568</v>
      </c>
      <c r="J99" s="8">
        <v>378059834.8815214</v>
      </c>
      <c r="K99" s="8">
        <v>19039392.073235936</v>
      </c>
      <c r="L99" s="8">
        <v>25260904.234657444</v>
      </c>
      <c r="M99" s="75">
        <v>-1748867.068575586</v>
      </c>
      <c r="N99" s="75">
        <v>102669513.54198453</v>
      </c>
      <c r="O99" s="75">
        <v>100920646.47340894</v>
      </c>
      <c r="P99" s="78">
        <v>277139188.40811247</v>
      </c>
      <c r="Q99" s="78">
        <v>2156481.4618027206</v>
      </c>
      <c r="R99" s="78">
        <v>0</v>
      </c>
      <c r="S99" s="78">
        <v>8377993.6232242286</v>
      </c>
      <c r="T99" s="1"/>
      <c r="U99" s="1"/>
      <c r="V99" s="78">
        <v>570053.32417987369</v>
      </c>
      <c r="Z99" s="38"/>
    </row>
    <row r="100" spans="1:26" s="31" customFormat="1" ht="15.5" x14ac:dyDescent="0.35">
      <c r="A100" s="79">
        <v>48000</v>
      </c>
      <c r="B100" s="80">
        <v>0</v>
      </c>
      <c r="C100" s="80">
        <v>0</v>
      </c>
      <c r="D100" s="80">
        <v>0</v>
      </c>
      <c r="E100" s="80">
        <v>17140163.569452651</v>
      </c>
      <c r="F100" s="81">
        <v>763721622.94003379</v>
      </c>
      <c r="G100" s="80">
        <v>4695929.1593369637</v>
      </c>
      <c r="H100" s="80">
        <v>1525583.0020845444</v>
      </c>
      <c r="I100" s="80">
        <v>393782528.72371721</v>
      </c>
      <c r="J100" s="82">
        <v>369939094.21631658</v>
      </c>
      <c r="K100" s="82">
        <v>17140163.569452651</v>
      </c>
      <c r="L100" s="82">
        <v>23361675.730874158</v>
      </c>
      <c r="M100" s="80">
        <v>-1748867.068575586</v>
      </c>
      <c r="N100" s="80">
        <v>100920646.47340894</v>
      </c>
      <c r="O100" s="80">
        <v>99171779.404833347</v>
      </c>
      <c r="P100" s="83">
        <v>270767314.81148326</v>
      </c>
      <c r="Q100" s="83">
        <v>2106900.5008169846</v>
      </c>
      <c r="R100" s="83">
        <v>0</v>
      </c>
      <c r="S100" s="83">
        <v>8328412.6622384917</v>
      </c>
      <c r="T100" s="1"/>
      <c r="U100" s="1"/>
      <c r="V100" s="78">
        <v>556946.88569357933</v>
      </c>
      <c r="Z100" s="38"/>
    </row>
    <row r="101" spans="1:26" s="31" customFormat="1" ht="15.5" x14ac:dyDescent="0.35">
      <c r="A101" s="5">
        <v>48030</v>
      </c>
      <c r="B101" s="75">
        <v>0</v>
      </c>
      <c r="C101" s="75">
        <v>0</v>
      </c>
      <c r="D101" s="75">
        <v>0</v>
      </c>
      <c r="E101" s="75">
        <v>15340186.084133107</v>
      </c>
      <c r="F101" s="74">
        <v>761921645.4547143</v>
      </c>
      <c r="G101" s="75">
        <v>4695929.1593369637</v>
      </c>
      <c r="H101" s="75">
        <v>1525583.0020845444</v>
      </c>
      <c r="I101" s="75">
        <v>400004040.88513875</v>
      </c>
      <c r="J101" s="8">
        <v>361917604.56957549</v>
      </c>
      <c r="K101" s="8">
        <v>15340186.084133107</v>
      </c>
      <c r="L101" s="8">
        <v>21561698.245554615</v>
      </c>
      <c r="M101" s="75">
        <v>-1748867.068575586</v>
      </c>
      <c r="N101" s="75">
        <v>99171779.404833347</v>
      </c>
      <c r="O101" s="75">
        <v>97422912.336257756</v>
      </c>
      <c r="P101" s="78">
        <v>264494692.23331773</v>
      </c>
      <c r="Q101" s="78">
        <v>2058091.8340080897</v>
      </c>
      <c r="R101" s="78">
        <v>0</v>
      </c>
      <c r="S101" s="78">
        <v>8279603.9954295978</v>
      </c>
      <c r="T101" s="1"/>
      <c r="U101" s="1"/>
      <c r="V101" s="78">
        <v>544044.59867835068</v>
      </c>
      <c r="Z101" s="38"/>
    </row>
    <row r="102" spans="1:26" s="31" customFormat="1" ht="15.5" x14ac:dyDescent="0.35">
      <c r="A102" s="5">
        <v>48061</v>
      </c>
      <c r="B102" s="75">
        <v>0</v>
      </c>
      <c r="C102" s="75">
        <v>0</v>
      </c>
      <c r="D102" s="75">
        <v>0</v>
      </c>
      <c r="E102" s="75">
        <v>13639459.617277291</v>
      </c>
      <c r="F102" s="74">
        <v>760220918.98785841</v>
      </c>
      <c r="G102" s="75">
        <v>4695929.1593369637</v>
      </c>
      <c r="H102" s="75">
        <v>1525583.0020845444</v>
      </c>
      <c r="I102" s="75">
        <v>406225553.04656029</v>
      </c>
      <c r="J102" s="8">
        <v>353995365.94129813</v>
      </c>
      <c r="K102" s="8">
        <v>13639459.617277291</v>
      </c>
      <c r="L102" s="8">
        <v>19860971.778698798</v>
      </c>
      <c r="M102" s="75">
        <v>-1748867.068575586</v>
      </c>
      <c r="N102" s="75">
        <v>97422912.336257756</v>
      </c>
      <c r="O102" s="75">
        <v>95674045.267682165</v>
      </c>
      <c r="P102" s="78">
        <v>258321320.67361596</v>
      </c>
      <c r="Q102" s="78">
        <v>2010055.4613760361</v>
      </c>
      <c r="R102" s="78">
        <v>0</v>
      </c>
      <c r="S102" s="78">
        <v>8231567.6227975432</v>
      </c>
      <c r="T102" s="1"/>
      <c r="U102" s="1"/>
      <c r="V102" s="78">
        <v>531346.46313418786</v>
      </c>
      <c r="Z102" s="38"/>
    </row>
    <row r="103" spans="1:26" s="31" customFormat="1" ht="15.5" x14ac:dyDescent="0.35">
      <c r="A103" s="79">
        <v>48092</v>
      </c>
      <c r="B103" s="80">
        <v>0</v>
      </c>
      <c r="C103" s="80">
        <v>0</v>
      </c>
      <c r="D103" s="80">
        <v>0</v>
      </c>
      <c r="E103" s="80">
        <v>12037984.168885214</v>
      </c>
      <c r="F103" s="81">
        <v>758619443.53946638</v>
      </c>
      <c r="G103" s="80">
        <v>4695929.1593369637</v>
      </c>
      <c r="H103" s="80">
        <v>1525583.0020845444</v>
      </c>
      <c r="I103" s="80">
        <v>412447065.20798182</v>
      </c>
      <c r="J103" s="82">
        <v>346172378.33148456</v>
      </c>
      <c r="K103" s="82">
        <v>12037984.168885214</v>
      </c>
      <c r="L103" s="82">
        <v>18259496.330306724</v>
      </c>
      <c r="M103" s="80">
        <v>-1748867.0685755864</v>
      </c>
      <c r="N103" s="80">
        <v>95674045.267682165</v>
      </c>
      <c r="O103" s="80">
        <v>93925178.199106574</v>
      </c>
      <c r="P103" s="83">
        <v>252247200.13237798</v>
      </c>
      <c r="Q103" s="83">
        <v>1962791.382920824</v>
      </c>
      <c r="R103" s="83">
        <v>0</v>
      </c>
      <c r="S103" s="83">
        <v>8184303.5443423316</v>
      </c>
      <c r="T103" s="1"/>
      <c r="U103" s="1"/>
      <c r="V103" s="78">
        <v>518852.47906109103</v>
      </c>
      <c r="Z103" s="38"/>
    </row>
    <row r="104" spans="1:26" s="31" customFormat="1" ht="15.5" x14ac:dyDescent="0.35">
      <c r="A104" s="5">
        <v>48122</v>
      </c>
      <c r="B104" s="75">
        <v>0</v>
      </c>
      <c r="C104" s="75">
        <v>0</v>
      </c>
      <c r="D104" s="75">
        <v>0</v>
      </c>
      <c r="E104" s="75">
        <v>10535759.738956872</v>
      </c>
      <c r="F104" s="74">
        <v>757117219.10953808</v>
      </c>
      <c r="G104" s="75">
        <v>4695929.1593369637</v>
      </c>
      <c r="H104" s="75">
        <v>1525583.0020845444</v>
      </c>
      <c r="I104" s="75">
        <v>418668577.36940336</v>
      </c>
      <c r="J104" s="8">
        <v>338448641.74013466</v>
      </c>
      <c r="K104" s="8">
        <v>10535759.738956872</v>
      </c>
      <c r="L104" s="8">
        <v>16757271.90037838</v>
      </c>
      <c r="M104" s="75">
        <v>-1748867.068575586</v>
      </c>
      <c r="N104" s="75">
        <v>93925178.199106574</v>
      </c>
      <c r="O104" s="75">
        <v>92176311.130530983</v>
      </c>
      <c r="P104" s="78">
        <v>246272330.60960367</v>
      </c>
      <c r="Q104" s="78">
        <v>1916299.5986424526</v>
      </c>
      <c r="R104" s="78">
        <v>0</v>
      </c>
      <c r="S104" s="78">
        <v>8137811.7600639602</v>
      </c>
      <c r="T104" s="1"/>
      <c r="U104" s="1"/>
      <c r="V104" s="78">
        <v>506562.64645905973</v>
      </c>
      <c r="Z104" s="38"/>
    </row>
    <row r="105" spans="1:26" s="31" customFormat="1" ht="15.5" x14ac:dyDescent="0.35">
      <c r="A105" s="5">
        <v>48153</v>
      </c>
      <c r="B105" s="75">
        <v>0</v>
      </c>
      <c r="C105" s="75">
        <v>0</v>
      </c>
      <c r="D105" s="75">
        <v>0</v>
      </c>
      <c r="E105" s="75">
        <v>9132786.327492265</v>
      </c>
      <c r="F105" s="74">
        <v>755714245.69807339</v>
      </c>
      <c r="G105" s="75">
        <v>4695929.1593369637</v>
      </c>
      <c r="H105" s="75">
        <v>1525583.0020845444</v>
      </c>
      <c r="I105" s="75">
        <v>424890089.5308249</v>
      </c>
      <c r="J105" s="8">
        <v>330824156.16724849</v>
      </c>
      <c r="K105" s="8">
        <v>9132786.327492265</v>
      </c>
      <c r="L105" s="8">
        <v>15354298.488913773</v>
      </c>
      <c r="M105" s="75">
        <v>-1748867.068575586</v>
      </c>
      <c r="N105" s="75">
        <v>92176311.130530983</v>
      </c>
      <c r="O105" s="75">
        <v>90427444.061955392</v>
      </c>
      <c r="P105" s="78">
        <v>240396712.1052931</v>
      </c>
      <c r="Q105" s="78">
        <v>1870580.1085409226</v>
      </c>
      <c r="R105" s="78">
        <v>0</v>
      </c>
      <c r="S105" s="78">
        <v>8092092.26996243</v>
      </c>
      <c r="T105" s="1"/>
      <c r="U105" s="1"/>
      <c r="V105" s="78">
        <v>494476.96532809414</v>
      </c>
      <c r="Z105" s="38"/>
    </row>
    <row r="106" spans="1:26" s="31" customFormat="1" ht="15.5" x14ac:dyDescent="0.35">
      <c r="A106" s="79">
        <v>48183</v>
      </c>
      <c r="B106" s="80">
        <v>0</v>
      </c>
      <c r="C106" s="80">
        <v>0</v>
      </c>
      <c r="D106" s="80">
        <v>0</v>
      </c>
      <c r="E106" s="80">
        <v>7829063.9344913885</v>
      </c>
      <c r="F106" s="81">
        <v>754410523.30507255</v>
      </c>
      <c r="G106" s="80">
        <v>4695929.1593369637</v>
      </c>
      <c r="H106" s="80">
        <v>1525583.0020845444</v>
      </c>
      <c r="I106" s="80">
        <v>431111601.69224644</v>
      </c>
      <c r="J106" s="82">
        <v>323298921.61282611</v>
      </c>
      <c r="K106" s="82">
        <v>7829063.9344913885</v>
      </c>
      <c r="L106" s="82">
        <v>14050576.095912896</v>
      </c>
      <c r="M106" s="80">
        <v>-1748867.068575586</v>
      </c>
      <c r="N106" s="80">
        <v>90427444.061955392</v>
      </c>
      <c r="O106" s="80">
        <v>88678576.993379802</v>
      </c>
      <c r="P106" s="83">
        <v>234620344.61944631</v>
      </c>
      <c r="Q106" s="83">
        <v>1825632.912616234</v>
      </c>
      <c r="R106" s="83">
        <v>0</v>
      </c>
      <c r="S106" s="83">
        <v>8047145.0740377419</v>
      </c>
      <c r="T106" s="1"/>
      <c r="U106" s="1"/>
      <c r="V106" s="78">
        <v>482595.43566819461</v>
      </c>
      <c r="Z106" s="38"/>
    </row>
    <row r="107" spans="1:26" s="31" customFormat="1" ht="15.5" x14ac:dyDescent="0.35">
      <c r="A107" s="5">
        <v>48214</v>
      </c>
      <c r="B107" s="75">
        <v>0</v>
      </c>
      <c r="C107" s="75">
        <v>0</v>
      </c>
      <c r="D107" s="75">
        <v>0</v>
      </c>
      <c r="E107" s="75">
        <v>6624592.5599542465</v>
      </c>
      <c r="F107" s="74">
        <v>753206051.93053544</v>
      </c>
      <c r="G107" s="75">
        <v>4695929.1593369637</v>
      </c>
      <c r="H107" s="75">
        <v>1525583.0020845444</v>
      </c>
      <c r="I107" s="75">
        <v>437333113.85366797</v>
      </c>
      <c r="J107" s="8">
        <v>315872938.0768674</v>
      </c>
      <c r="K107" s="8">
        <v>6624592.5599542465</v>
      </c>
      <c r="L107" s="8">
        <v>12846104.721375754</v>
      </c>
      <c r="M107" s="75">
        <v>-1748867.068575586</v>
      </c>
      <c r="N107" s="75">
        <v>88678576.993379802</v>
      </c>
      <c r="O107" s="75">
        <v>86929709.924804211</v>
      </c>
      <c r="P107" s="78">
        <v>228943228.15206319</v>
      </c>
      <c r="Q107" s="78">
        <v>1781458.0108683864</v>
      </c>
      <c r="R107" s="78">
        <v>0</v>
      </c>
      <c r="S107" s="78">
        <v>8002970.172289894</v>
      </c>
      <c r="T107" s="1"/>
      <c r="U107" s="1"/>
      <c r="V107" s="78">
        <v>470918.05747936061</v>
      </c>
      <c r="Z107" s="38"/>
    </row>
    <row r="108" spans="1:26" s="31" customFormat="1" ht="15.5" x14ac:dyDescent="0.35">
      <c r="A108" s="5">
        <v>48245</v>
      </c>
      <c r="B108" s="75">
        <v>0</v>
      </c>
      <c r="C108" s="75">
        <v>0</v>
      </c>
      <c r="D108" s="75">
        <v>0</v>
      </c>
      <c r="E108" s="75">
        <v>5520493.7999618649</v>
      </c>
      <c r="F108" s="74">
        <v>752101953.17054296</v>
      </c>
      <c r="G108" s="75">
        <v>4695929.1593369637</v>
      </c>
      <c r="H108" s="75">
        <v>1525583.0020845444</v>
      </c>
      <c r="I108" s="75">
        <v>443554626.01508951</v>
      </c>
      <c r="J108" s="8">
        <v>308547327.1554535</v>
      </c>
      <c r="K108" s="8">
        <v>5520493.7999618649</v>
      </c>
      <c r="L108" s="8">
        <v>11742005.961383373</v>
      </c>
      <c r="M108" s="75">
        <v>-1748867.068575586</v>
      </c>
      <c r="N108" s="75">
        <v>86929709.924804211</v>
      </c>
      <c r="O108" s="75">
        <v>85180842.85622862</v>
      </c>
      <c r="P108" s="78">
        <v>223366484.29922488</v>
      </c>
      <c r="Q108" s="78">
        <v>1738064.1306851243</v>
      </c>
      <c r="R108" s="78">
        <v>0</v>
      </c>
      <c r="S108" s="78">
        <v>7959576.2921066321</v>
      </c>
      <c r="T108" s="1"/>
      <c r="U108" s="1"/>
      <c r="V108" s="78">
        <v>459447.13779575116</v>
      </c>
      <c r="Z108" s="38"/>
    </row>
    <row r="109" spans="1:26" s="31" customFormat="1" ht="15.5" x14ac:dyDescent="0.35">
      <c r="A109" s="79">
        <v>48274</v>
      </c>
      <c r="B109" s="80">
        <v>0</v>
      </c>
      <c r="C109" s="80">
        <v>0</v>
      </c>
      <c r="D109" s="80">
        <v>0</v>
      </c>
      <c r="E109" s="80">
        <v>4516767.6545142494</v>
      </c>
      <c r="F109" s="81">
        <v>751098227.02509534</v>
      </c>
      <c r="G109" s="80">
        <v>4695929.1593369637</v>
      </c>
      <c r="H109" s="80">
        <v>1525583.0020845444</v>
      </c>
      <c r="I109" s="80">
        <v>449776138.17651105</v>
      </c>
      <c r="J109" s="82">
        <v>301322088.84858435</v>
      </c>
      <c r="K109" s="82">
        <v>4516767.6545142494</v>
      </c>
      <c r="L109" s="82">
        <v>10738279.815935757</v>
      </c>
      <c r="M109" s="80">
        <v>-1748867.068575586</v>
      </c>
      <c r="N109" s="80">
        <v>85180842.85622862</v>
      </c>
      <c r="O109" s="80">
        <v>83431975.787653029</v>
      </c>
      <c r="P109" s="83">
        <v>217890113.06093132</v>
      </c>
      <c r="Q109" s="83">
        <v>1695451.2720664479</v>
      </c>
      <c r="R109" s="83">
        <v>0</v>
      </c>
      <c r="S109" s="83">
        <v>7916963.4334879555</v>
      </c>
      <c r="T109" s="1"/>
      <c r="U109" s="1"/>
      <c r="V109" s="78">
        <v>448182.6766173662</v>
      </c>
      <c r="Z109" s="38"/>
    </row>
    <row r="110" spans="1:26" s="31" customFormat="1" ht="15.5" x14ac:dyDescent="0.35">
      <c r="A110" s="5">
        <v>48305</v>
      </c>
      <c r="B110" s="75">
        <v>0</v>
      </c>
      <c r="C110" s="75">
        <v>0</v>
      </c>
      <c r="D110" s="75">
        <v>0</v>
      </c>
      <c r="E110" s="75">
        <v>3613414.1236113948</v>
      </c>
      <c r="F110" s="74">
        <v>750194873.4941926</v>
      </c>
      <c r="G110" s="75">
        <v>4695929.1593369637</v>
      </c>
      <c r="H110" s="75">
        <v>1525583.0020845444</v>
      </c>
      <c r="I110" s="75">
        <v>455997650.33793259</v>
      </c>
      <c r="J110" s="8">
        <v>294197223.15625995</v>
      </c>
      <c r="K110" s="8">
        <v>3613414.1236113948</v>
      </c>
      <c r="L110" s="8">
        <v>9834926.2850329019</v>
      </c>
      <c r="M110" s="75">
        <v>-1748867.068575586</v>
      </c>
      <c r="N110" s="75">
        <v>83431975.787653029</v>
      </c>
      <c r="O110" s="75">
        <v>81683108.719077438</v>
      </c>
      <c r="P110" s="78">
        <v>212514114.43718252</v>
      </c>
      <c r="Q110" s="78">
        <v>1653619.4350123566</v>
      </c>
      <c r="R110" s="78">
        <v>0</v>
      </c>
      <c r="S110" s="78">
        <v>7875131.596433864</v>
      </c>
      <c r="T110" s="1"/>
      <c r="U110" s="1"/>
      <c r="V110" s="78">
        <v>437124.67394420574</v>
      </c>
      <c r="Z110" s="38"/>
    </row>
    <row r="111" spans="1:26" s="31" customFormat="1" ht="15.5" x14ac:dyDescent="0.35">
      <c r="A111" s="5">
        <v>48335</v>
      </c>
      <c r="B111" s="75">
        <v>0</v>
      </c>
      <c r="C111" s="75">
        <v>0</v>
      </c>
      <c r="D111" s="75">
        <v>0</v>
      </c>
      <c r="E111" s="75">
        <v>2810433.2072533001</v>
      </c>
      <c r="F111" s="74">
        <v>749391892.57783449</v>
      </c>
      <c r="G111" s="75">
        <v>4695929.1593369637</v>
      </c>
      <c r="H111" s="75">
        <v>1525583.0020845444</v>
      </c>
      <c r="I111" s="75">
        <v>462219162.49935412</v>
      </c>
      <c r="J111" s="8">
        <v>287172730.0784803</v>
      </c>
      <c r="K111" s="8">
        <v>2810433.2072533001</v>
      </c>
      <c r="L111" s="8">
        <v>9031945.3686748073</v>
      </c>
      <c r="M111" s="75">
        <v>-1748867.068575586</v>
      </c>
      <c r="N111" s="75">
        <v>81683108.719077438</v>
      </c>
      <c r="O111" s="75">
        <v>79934241.650501847</v>
      </c>
      <c r="P111" s="78">
        <v>207238488.42797846</v>
      </c>
      <c r="Q111" s="78">
        <v>1612568.6195228507</v>
      </c>
      <c r="R111" s="78">
        <v>0</v>
      </c>
      <c r="S111" s="78">
        <v>7834080.7809443586</v>
      </c>
      <c r="T111" s="1"/>
      <c r="U111" s="1"/>
      <c r="V111" s="78">
        <v>426273.12977626972</v>
      </c>
      <c r="Z111" s="38"/>
    </row>
    <row r="112" spans="1:26" s="31" customFormat="1" ht="15.5" x14ac:dyDescent="0.35">
      <c r="A112" s="79">
        <v>48366</v>
      </c>
      <c r="B112" s="80">
        <v>0</v>
      </c>
      <c r="C112" s="80">
        <v>0</v>
      </c>
      <c r="D112" s="80">
        <v>0</v>
      </c>
      <c r="E112" s="80">
        <v>2107824.9054399678</v>
      </c>
      <c r="F112" s="81">
        <v>748689284.27602112</v>
      </c>
      <c r="G112" s="80">
        <v>4695929.1593369637</v>
      </c>
      <c r="H112" s="80">
        <v>1525583.0020845444</v>
      </c>
      <c r="I112" s="80">
        <v>468440674.66077566</v>
      </c>
      <c r="J112" s="82">
        <v>280248609.61524546</v>
      </c>
      <c r="K112" s="82">
        <v>2107824.9054399678</v>
      </c>
      <c r="L112" s="82">
        <v>8329337.0668614749</v>
      </c>
      <c r="M112" s="80">
        <v>-1748867.068575586</v>
      </c>
      <c r="N112" s="80">
        <v>79934241.650501847</v>
      </c>
      <c r="O112" s="80">
        <v>78185374.581926256</v>
      </c>
      <c r="P112" s="83">
        <v>202063235.03331921</v>
      </c>
      <c r="Q112" s="83">
        <v>1572298.8255979307</v>
      </c>
      <c r="R112" s="83">
        <v>0</v>
      </c>
      <c r="S112" s="83">
        <v>7793810.9870194383</v>
      </c>
      <c r="T112" s="1"/>
      <c r="U112" s="1"/>
      <c r="V112" s="78">
        <v>415628.04411355825</v>
      </c>
      <c r="Z112" s="38"/>
    </row>
    <row r="113" spans="1:26" s="31" customFormat="1" ht="15.5" x14ac:dyDescent="0.35">
      <c r="A113" s="5">
        <v>48396</v>
      </c>
      <c r="B113" s="75">
        <v>0</v>
      </c>
      <c r="C113" s="75">
        <v>0</v>
      </c>
      <c r="D113" s="75">
        <v>0</v>
      </c>
      <c r="E113" s="75">
        <v>1505589.2181713977</v>
      </c>
      <c r="F113" s="74">
        <v>748087048.58875251</v>
      </c>
      <c r="G113" s="75">
        <v>4695929.1593369637</v>
      </c>
      <c r="H113" s="75">
        <v>1525583.0020845444</v>
      </c>
      <c r="I113" s="75">
        <v>474662186.8221972</v>
      </c>
      <c r="J113" s="8">
        <v>273424861.76655537</v>
      </c>
      <c r="K113" s="8">
        <v>1505589.2181713977</v>
      </c>
      <c r="L113" s="8">
        <v>7727101.3795929048</v>
      </c>
      <c r="M113" s="75">
        <v>-1748867.068575586</v>
      </c>
      <c r="N113" s="75">
        <v>78185374.581926256</v>
      </c>
      <c r="O113" s="75">
        <v>76436507.513350666</v>
      </c>
      <c r="P113" s="78">
        <v>196988354.2532047</v>
      </c>
      <c r="Q113" s="78">
        <v>1532810.0532375961</v>
      </c>
      <c r="R113" s="78">
        <v>0</v>
      </c>
      <c r="S113" s="78">
        <v>7754322.2146591041</v>
      </c>
      <c r="T113" s="1"/>
      <c r="U113" s="1"/>
      <c r="V113" s="78">
        <v>405189.41695607128</v>
      </c>
      <c r="Z113" s="38"/>
    </row>
    <row r="114" spans="1:26" s="31" customFormat="1" ht="15.5" x14ac:dyDescent="0.35">
      <c r="A114" s="5">
        <v>48427</v>
      </c>
      <c r="B114" s="75">
        <v>0</v>
      </c>
      <c r="C114" s="75">
        <v>0</v>
      </c>
      <c r="D114" s="75">
        <v>0</v>
      </c>
      <c r="E114" s="75">
        <v>1003726.1454475888</v>
      </c>
      <c r="F114" s="74">
        <v>747585185.51602876</v>
      </c>
      <c r="G114" s="75">
        <v>4695929.1593369637</v>
      </c>
      <c r="H114" s="75">
        <v>1525583.0020845444</v>
      </c>
      <c r="I114" s="75">
        <v>480883698.98361874</v>
      </c>
      <c r="J114" s="8">
        <v>266701486.53241</v>
      </c>
      <c r="K114" s="8">
        <v>1003726.1454475888</v>
      </c>
      <c r="L114" s="8">
        <v>7225238.3068690961</v>
      </c>
      <c r="M114" s="75">
        <v>-1748867.068575586</v>
      </c>
      <c r="N114" s="75">
        <v>76436507.513350666</v>
      </c>
      <c r="O114" s="75">
        <v>74687640.444775075</v>
      </c>
      <c r="P114" s="78">
        <v>192013846.08763492</v>
      </c>
      <c r="Q114" s="78">
        <v>1494102.3024418466</v>
      </c>
      <c r="R114" s="78">
        <v>0</v>
      </c>
      <c r="S114" s="78">
        <v>7715614.4638633542</v>
      </c>
      <c r="T114" s="1"/>
      <c r="U114" s="1"/>
      <c r="V114" s="78">
        <v>394957.24830380874</v>
      </c>
      <c r="Z114" s="38"/>
    </row>
    <row r="115" spans="1:26" s="31" customFormat="1" ht="15.5" x14ac:dyDescent="0.35">
      <c r="A115" s="79">
        <v>48458</v>
      </c>
      <c r="B115" s="80">
        <v>0</v>
      </c>
      <c r="C115" s="80">
        <v>0</v>
      </c>
      <c r="D115" s="80">
        <v>0</v>
      </c>
      <c r="E115" s="80">
        <v>602235.68726854166</v>
      </c>
      <c r="F115" s="81">
        <v>747183695.05784965</v>
      </c>
      <c r="G115" s="80">
        <v>4695929.1593369637</v>
      </c>
      <c r="H115" s="80">
        <v>1525583.0020845444</v>
      </c>
      <c r="I115" s="80">
        <v>487105211.14504027</v>
      </c>
      <c r="J115" s="82">
        <v>260078483.91280943</v>
      </c>
      <c r="K115" s="82">
        <v>602235.68726854166</v>
      </c>
      <c r="L115" s="82">
        <v>6823747.8486900497</v>
      </c>
      <c r="M115" s="80">
        <v>-1748867.068575586</v>
      </c>
      <c r="N115" s="80">
        <v>74687640.444775075</v>
      </c>
      <c r="O115" s="80">
        <v>72938773.376199484</v>
      </c>
      <c r="P115" s="83">
        <v>187139710.53660995</v>
      </c>
      <c r="Q115" s="83">
        <v>1456175.5732106827</v>
      </c>
      <c r="R115" s="83">
        <v>0</v>
      </c>
      <c r="S115" s="83">
        <v>7677687.7346321903</v>
      </c>
      <c r="T115" s="1"/>
      <c r="U115" s="1"/>
      <c r="V115" s="78">
        <v>384931.53815677069</v>
      </c>
      <c r="Z115" s="38"/>
    </row>
    <row r="116" spans="1:26" s="31" customFormat="1" ht="15.5" x14ac:dyDescent="0.35">
      <c r="A116" s="5">
        <v>48488</v>
      </c>
      <c r="B116" s="75">
        <v>0</v>
      </c>
      <c r="C116" s="75">
        <v>0</v>
      </c>
      <c r="D116" s="75">
        <v>0</v>
      </c>
      <c r="E116" s="75">
        <v>301117.84363425645</v>
      </c>
      <c r="F116" s="74">
        <v>746882577.2142154</v>
      </c>
      <c r="G116" s="75">
        <v>4695929.1593369637</v>
      </c>
      <c r="H116" s="75">
        <v>1525583.0020845444</v>
      </c>
      <c r="I116" s="75">
        <v>493326723.30646181</v>
      </c>
      <c r="J116" s="8">
        <v>253555853.90775359</v>
      </c>
      <c r="K116" s="8">
        <v>301117.84363425645</v>
      </c>
      <c r="L116" s="8">
        <v>6522630.0050557638</v>
      </c>
      <c r="M116" s="75">
        <v>-1748867.068575586</v>
      </c>
      <c r="N116" s="75">
        <v>72938773.376199484</v>
      </c>
      <c r="O116" s="75">
        <v>71189906.307623893</v>
      </c>
      <c r="P116" s="78">
        <v>182365947.60012969</v>
      </c>
      <c r="Q116" s="78">
        <v>1419029.8655441043</v>
      </c>
      <c r="R116" s="78">
        <v>0</v>
      </c>
      <c r="S116" s="78">
        <v>7640542.0269656116</v>
      </c>
      <c r="T116" s="1"/>
      <c r="U116" s="1"/>
      <c r="V116" s="78">
        <v>375112.28651495714</v>
      </c>
      <c r="Z116" s="38"/>
    </row>
    <row r="117" spans="1:26" s="31" customFormat="1" ht="15.5" x14ac:dyDescent="0.35">
      <c r="A117" s="5">
        <v>48519</v>
      </c>
      <c r="B117" s="75">
        <v>0</v>
      </c>
      <c r="C117" s="75">
        <v>0</v>
      </c>
      <c r="D117" s="75">
        <v>0</v>
      </c>
      <c r="E117" s="75">
        <v>100372.61454473298</v>
      </c>
      <c r="F117" s="74">
        <v>746681831.9851259</v>
      </c>
      <c r="G117" s="75">
        <v>4695929.1593369637</v>
      </c>
      <c r="H117" s="75">
        <v>1525583.0020845444</v>
      </c>
      <c r="I117" s="75">
        <v>499548235.46788335</v>
      </c>
      <c r="J117" s="8">
        <v>247133596.51724252</v>
      </c>
      <c r="K117" s="8">
        <v>100372.61454473298</v>
      </c>
      <c r="L117" s="8">
        <v>6321884.775966241</v>
      </c>
      <c r="M117" s="75">
        <v>-1748867.068575586</v>
      </c>
      <c r="N117" s="75">
        <v>71189906.307623893</v>
      </c>
      <c r="O117" s="75">
        <v>69441039.239048302</v>
      </c>
      <c r="P117" s="78">
        <v>177692557.27819422</v>
      </c>
      <c r="Q117" s="78">
        <v>1382665.1794421112</v>
      </c>
      <c r="R117" s="78">
        <v>0</v>
      </c>
      <c r="S117" s="78">
        <v>7604177.340863619</v>
      </c>
      <c r="T117" s="1"/>
      <c r="U117" s="1"/>
      <c r="V117" s="78">
        <v>365499.49337836815</v>
      </c>
      <c r="Z117" s="38"/>
    </row>
    <row r="118" spans="1:26" s="31" customFormat="1" ht="15.5" x14ac:dyDescent="0.35">
      <c r="A118" s="79">
        <v>48549</v>
      </c>
      <c r="B118" s="80">
        <v>0</v>
      </c>
      <c r="C118" s="80">
        <v>0</v>
      </c>
      <c r="D118" s="80">
        <v>0</v>
      </c>
      <c r="E118" s="80">
        <v>0</v>
      </c>
      <c r="F118" s="81">
        <v>746581459.37058115</v>
      </c>
      <c r="G118" s="80">
        <v>4695929.1593369637</v>
      </c>
      <c r="H118" s="80">
        <v>1525583.0020845444</v>
      </c>
      <c r="I118" s="80">
        <v>505769747.62930489</v>
      </c>
      <c r="J118" s="82">
        <v>240811711.74127626</v>
      </c>
      <c r="K118" s="82">
        <v>0</v>
      </c>
      <c r="L118" s="82">
        <v>6221512.1614215076</v>
      </c>
      <c r="M118" s="80">
        <v>-1748867.068575586</v>
      </c>
      <c r="N118" s="80">
        <v>69441039.239048302</v>
      </c>
      <c r="O118" s="80">
        <v>67692172.170472711</v>
      </c>
      <c r="P118" s="83">
        <v>173119539.57080355</v>
      </c>
      <c r="Q118" s="83">
        <v>1347081.5149047042</v>
      </c>
      <c r="R118" s="83">
        <v>0</v>
      </c>
      <c r="S118" s="83">
        <v>7568593.6763262115</v>
      </c>
      <c r="T118" s="1"/>
      <c r="U118" s="1"/>
      <c r="V118" s="78">
        <v>356093.15874700365</v>
      </c>
      <c r="Z118" s="38"/>
    </row>
    <row r="119" spans="1:26" s="31" customFormat="1" ht="15.5" x14ac:dyDescent="0.35">
      <c r="A119" s="5">
        <v>48580</v>
      </c>
      <c r="B119" s="75">
        <v>0</v>
      </c>
      <c r="C119" s="75">
        <v>0</v>
      </c>
      <c r="D119" s="75">
        <v>0</v>
      </c>
      <c r="E119" s="75">
        <v>0</v>
      </c>
      <c r="F119" s="74">
        <v>746581459.37058115</v>
      </c>
      <c r="G119" s="75">
        <v>4695929.1593369637</v>
      </c>
      <c r="H119" s="75">
        <v>1525583.0020845444</v>
      </c>
      <c r="I119" s="75">
        <v>511991259.79072642</v>
      </c>
      <c r="J119" s="8">
        <v>234590199.57985473</v>
      </c>
      <c r="K119" s="8">
        <v>0</v>
      </c>
      <c r="L119" s="8">
        <v>6221512.1614215076</v>
      </c>
      <c r="M119" s="75">
        <v>-1748867.068575586</v>
      </c>
      <c r="N119" s="75">
        <v>67692172.170472711</v>
      </c>
      <c r="O119" s="75">
        <v>65943305.101897128</v>
      </c>
      <c r="P119" s="78">
        <v>168646894.47795761</v>
      </c>
      <c r="Q119" s="78">
        <v>1312278.8719318821</v>
      </c>
      <c r="R119" s="78">
        <v>0</v>
      </c>
      <c r="S119" s="78">
        <v>7533791.0333533902</v>
      </c>
      <c r="T119" s="1"/>
      <c r="U119" s="1"/>
      <c r="V119" s="78">
        <v>346893.28262086352</v>
      </c>
      <c r="Z119" s="38"/>
    </row>
    <row r="120" spans="1:26" s="31" customFormat="1" ht="15.5" x14ac:dyDescent="0.35">
      <c r="A120" s="5">
        <v>48611</v>
      </c>
      <c r="B120" s="75">
        <v>0</v>
      </c>
      <c r="C120" s="75">
        <v>0</v>
      </c>
      <c r="D120" s="75">
        <v>0</v>
      </c>
      <c r="E120" s="75">
        <v>0</v>
      </c>
      <c r="F120" s="74">
        <v>746581459.37058115</v>
      </c>
      <c r="G120" s="75">
        <v>4695929.1593369637</v>
      </c>
      <c r="H120" s="75">
        <v>1525583.0020845444</v>
      </c>
      <c r="I120" s="75">
        <v>518212771.95214796</v>
      </c>
      <c r="J120" s="8">
        <v>228368687.41843319</v>
      </c>
      <c r="K120" s="8">
        <v>0</v>
      </c>
      <c r="L120" s="8">
        <v>6221512.1614215076</v>
      </c>
      <c r="M120" s="75">
        <v>-1748867.068575586</v>
      </c>
      <c r="N120" s="75">
        <v>65943305.101897128</v>
      </c>
      <c r="O120" s="75">
        <v>64194438.033321545</v>
      </c>
      <c r="P120" s="78">
        <v>164174249.38511163</v>
      </c>
      <c r="Q120" s="78">
        <v>1277476.2289590598</v>
      </c>
      <c r="R120" s="78">
        <v>0</v>
      </c>
      <c r="S120" s="78">
        <v>7498988.3903805669</v>
      </c>
      <c r="T120" s="1"/>
      <c r="U120" s="1"/>
      <c r="V120" s="78">
        <v>337693.4064947234</v>
      </c>
      <c r="Z120" s="38"/>
    </row>
    <row r="121" spans="1:26" s="31" customFormat="1" ht="15.5" x14ac:dyDescent="0.35">
      <c r="A121" s="79">
        <v>48639</v>
      </c>
      <c r="B121" s="80">
        <v>0</v>
      </c>
      <c r="C121" s="80">
        <v>0</v>
      </c>
      <c r="D121" s="80">
        <v>0</v>
      </c>
      <c r="E121" s="80">
        <v>0</v>
      </c>
      <c r="F121" s="81">
        <v>746581459.37058115</v>
      </c>
      <c r="G121" s="80">
        <v>4695929.1593369637</v>
      </c>
      <c r="H121" s="80">
        <v>1525583.0020845444</v>
      </c>
      <c r="I121" s="80">
        <v>524434284.1135695</v>
      </c>
      <c r="J121" s="82">
        <v>222147175.25701165</v>
      </c>
      <c r="K121" s="82">
        <v>0</v>
      </c>
      <c r="L121" s="82">
        <v>6221512.1614215076</v>
      </c>
      <c r="M121" s="80">
        <v>-1748867.068575586</v>
      </c>
      <c r="N121" s="80">
        <v>64194438.033321545</v>
      </c>
      <c r="O121" s="80">
        <v>62445570.964745961</v>
      </c>
      <c r="P121" s="83">
        <v>159701604.29226568</v>
      </c>
      <c r="Q121" s="83">
        <v>1242673.585986238</v>
      </c>
      <c r="R121" s="83">
        <v>0</v>
      </c>
      <c r="S121" s="83">
        <v>7464185.7474077456</v>
      </c>
      <c r="T121" s="1"/>
      <c r="U121" s="1"/>
      <c r="V121" s="78">
        <v>328493.53036858334</v>
      </c>
      <c r="Z121" s="38"/>
    </row>
    <row r="122" spans="1:26" s="31" customFormat="1" ht="15.5" x14ac:dyDescent="0.35">
      <c r="A122" s="5">
        <v>48670</v>
      </c>
      <c r="B122" s="75">
        <v>0</v>
      </c>
      <c r="C122" s="75">
        <v>0</v>
      </c>
      <c r="D122" s="75">
        <v>0</v>
      </c>
      <c r="E122" s="75">
        <v>0</v>
      </c>
      <c r="F122" s="74">
        <v>746581459.37058115</v>
      </c>
      <c r="G122" s="75">
        <v>4695929.1593369637</v>
      </c>
      <c r="H122" s="75">
        <v>1525583.0020845444</v>
      </c>
      <c r="I122" s="75">
        <v>530655796.27499104</v>
      </c>
      <c r="J122" s="8">
        <v>215925663.09559011</v>
      </c>
      <c r="K122" s="8">
        <v>0</v>
      </c>
      <c r="L122" s="8">
        <v>6221512.1614215076</v>
      </c>
      <c r="M122" s="75">
        <v>-1748867.068575586</v>
      </c>
      <c r="N122" s="75">
        <v>62445570.964745961</v>
      </c>
      <c r="O122" s="75">
        <v>60696703.896170378</v>
      </c>
      <c r="P122" s="78">
        <v>155228959.19941974</v>
      </c>
      <c r="Q122" s="78">
        <v>1207870.9430134159</v>
      </c>
      <c r="R122" s="78">
        <v>0</v>
      </c>
      <c r="S122" s="78">
        <v>7429383.1044349233</v>
      </c>
      <c r="T122" s="1"/>
      <c r="U122" s="1"/>
      <c r="V122" s="78">
        <v>319293.65424244321</v>
      </c>
      <c r="Z122" s="38"/>
    </row>
    <row r="123" spans="1:26" s="31" customFormat="1" ht="15.5" x14ac:dyDescent="0.35">
      <c r="A123" s="5">
        <v>48700</v>
      </c>
      <c r="B123" s="75">
        <v>0</v>
      </c>
      <c r="C123" s="75">
        <v>0</v>
      </c>
      <c r="D123" s="75">
        <v>0</v>
      </c>
      <c r="E123" s="75">
        <v>0</v>
      </c>
      <c r="F123" s="74">
        <v>746581459.37058115</v>
      </c>
      <c r="G123" s="75">
        <v>4695929.1593369637</v>
      </c>
      <c r="H123" s="75">
        <v>1525583.0020845444</v>
      </c>
      <c r="I123" s="75">
        <v>536877308.43641257</v>
      </c>
      <c r="J123" s="8">
        <v>209704150.93416858</v>
      </c>
      <c r="K123" s="8">
        <v>0</v>
      </c>
      <c r="L123" s="8">
        <v>6221512.1614215076</v>
      </c>
      <c r="M123" s="75">
        <v>-1748867.068575586</v>
      </c>
      <c r="N123" s="75">
        <v>60696703.896170378</v>
      </c>
      <c r="O123" s="75">
        <v>58947836.827594794</v>
      </c>
      <c r="P123" s="78">
        <v>150756314.10657379</v>
      </c>
      <c r="Q123" s="78">
        <v>1173068.3000405938</v>
      </c>
      <c r="R123" s="78">
        <v>0</v>
      </c>
      <c r="S123" s="78">
        <v>7394580.461462101</v>
      </c>
      <c r="T123" s="1"/>
      <c r="U123" s="1"/>
      <c r="V123" s="78">
        <v>310093.77811630315</v>
      </c>
      <c r="Z123" s="38"/>
    </row>
    <row r="124" spans="1:26" s="31" customFormat="1" ht="15.5" x14ac:dyDescent="0.35">
      <c r="A124" s="79">
        <v>48731</v>
      </c>
      <c r="B124" s="80">
        <v>0</v>
      </c>
      <c r="C124" s="80">
        <v>0</v>
      </c>
      <c r="D124" s="80">
        <v>0</v>
      </c>
      <c r="E124" s="80">
        <v>0</v>
      </c>
      <c r="F124" s="81">
        <v>746581459.37058115</v>
      </c>
      <c r="G124" s="80">
        <v>4695929.1593369637</v>
      </c>
      <c r="H124" s="80">
        <v>1525583.0020845444</v>
      </c>
      <c r="I124" s="80">
        <v>543098820.59783399</v>
      </c>
      <c r="J124" s="82">
        <v>203482638.77274716</v>
      </c>
      <c r="K124" s="82">
        <v>0</v>
      </c>
      <c r="L124" s="82">
        <v>6221512.1614215076</v>
      </c>
      <c r="M124" s="80">
        <v>-1748867.068575586</v>
      </c>
      <c r="N124" s="80">
        <v>58947836.827594794</v>
      </c>
      <c r="O124" s="80">
        <v>57198969.759019211</v>
      </c>
      <c r="P124" s="83">
        <v>146283669.01372796</v>
      </c>
      <c r="Q124" s="83">
        <v>1138265.6570677727</v>
      </c>
      <c r="R124" s="83">
        <v>0</v>
      </c>
      <c r="S124" s="83">
        <v>7359777.8184892805</v>
      </c>
      <c r="T124" s="1"/>
      <c r="U124" s="1"/>
      <c r="V124" s="78">
        <v>300893.90199016331</v>
      </c>
      <c r="Z124" s="38"/>
    </row>
    <row r="125" spans="1:26" s="31" customFormat="1" ht="15.5" x14ac:dyDescent="0.35">
      <c r="A125" s="5">
        <v>48761</v>
      </c>
      <c r="B125" s="75">
        <v>0</v>
      </c>
      <c r="C125" s="75">
        <v>0</v>
      </c>
      <c r="D125" s="75">
        <v>0</v>
      </c>
      <c r="E125" s="75">
        <v>0</v>
      </c>
      <c r="F125" s="74">
        <v>746581459.37058115</v>
      </c>
      <c r="G125" s="75">
        <v>4695929.1593369637</v>
      </c>
      <c r="H125" s="75">
        <v>1525583.0020845444</v>
      </c>
      <c r="I125" s="75">
        <v>549320332.75925541</v>
      </c>
      <c r="J125" s="8">
        <v>197261126.61132574</v>
      </c>
      <c r="K125" s="8">
        <v>0</v>
      </c>
      <c r="L125" s="8">
        <v>6221512.1614215076</v>
      </c>
      <c r="M125" s="75">
        <v>-1748867.068575586</v>
      </c>
      <c r="N125" s="75">
        <v>57198969.759019211</v>
      </c>
      <c r="O125" s="75">
        <v>55450102.690443628</v>
      </c>
      <c r="P125" s="78">
        <v>141811023.92088211</v>
      </c>
      <c r="Q125" s="78">
        <v>1103463.0140949513</v>
      </c>
      <c r="R125" s="78">
        <v>0</v>
      </c>
      <c r="S125" s="78">
        <v>7324975.1755164592</v>
      </c>
      <c r="T125" s="1"/>
      <c r="U125" s="1"/>
      <c r="V125" s="78">
        <v>291694.02586402342</v>
      </c>
      <c r="Z125" s="38"/>
    </row>
    <row r="126" spans="1:26" s="31" customFormat="1" ht="15.5" x14ac:dyDescent="0.35">
      <c r="A126" s="5">
        <v>48792</v>
      </c>
      <c r="B126" s="75">
        <v>0</v>
      </c>
      <c r="C126" s="75">
        <v>0</v>
      </c>
      <c r="D126" s="75">
        <v>0</v>
      </c>
      <c r="E126" s="75">
        <v>0</v>
      </c>
      <c r="F126" s="74">
        <v>746581459.37058115</v>
      </c>
      <c r="G126" s="75">
        <v>4695929.1593369637</v>
      </c>
      <c r="H126" s="75">
        <v>1525583.0020845444</v>
      </c>
      <c r="I126" s="75">
        <v>555541844.92067683</v>
      </c>
      <c r="J126" s="8">
        <v>191039614.44990432</v>
      </c>
      <c r="K126" s="8">
        <v>0</v>
      </c>
      <c r="L126" s="8">
        <v>6221512.1614215076</v>
      </c>
      <c r="M126" s="75">
        <v>-1748867.068575586</v>
      </c>
      <c r="N126" s="75">
        <v>55450102.690443628</v>
      </c>
      <c r="O126" s="75">
        <v>53701235.621868044</v>
      </c>
      <c r="P126" s="78">
        <v>137338378.82803628</v>
      </c>
      <c r="Q126" s="78">
        <v>1068660.3711221304</v>
      </c>
      <c r="R126" s="78">
        <v>0</v>
      </c>
      <c r="S126" s="78">
        <v>7290172.5325436378</v>
      </c>
      <c r="T126" s="1"/>
      <c r="U126" s="1"/>
      <c r="V126" s="78">
        <v>282494.14973788359</v>
      </c>
      <c r="Z126" s="38"/>
    </row>
    <row r="127" spans="1:26" s="31" customFormat="1" ht="15.5" x14ac:dyDescent="0.35">
      <c r="A127" s="79">
        <v>48823</v>
      </c>
      <c r="B127" s="80">
        <v>0</v>
      </c>
      <c r="C127" s="80">
        <v>0</v>
      </c>
      <c r="D127" s="80">
        <v>0</v>
      </c>
      <c r="E127" s="80">
        <v>0</v>
      </c>
      <c r="F127" s="81">
        <v>746581459.37058115</v>
      </c>
      <c r="G127" s="80">
        <v>4695929.1593369637</v>
      </c>
      <c r="H127" s="80">
        <v>1525583.0020845444</v>
      </c>
      <c r="I127" s="80">
        <v>561763357.08209825</v>
      </c>
      <c r="J127" s="82">
        <v>184818102.2884829</v>
      </c>
      <c r="K127" s="82">
        <v>0</v>
      </c>
      <c r="L127" s="82">
        <v>6221512.1614215076</v>
      </c>
      <c r="M127" s="80">
        <v>-1748867.068575586</v>
      </c>
      <c r="N127" s="80">
        <v>53701235.621868044</v>
      </c>
      <c r="O127" s="80">
        <v>51952368.553292461</v>
      </c>
      <c r="P127" s="83">
        <v>132865733.73519045</v>
      </c>
      <c r="Q127" s="83">
        <v>1033857.7281493093</v>
      </c>
      <c r="R127" s="83">
        <v>0</v>
      </c>
      <c r="S127" s="83">
        <v>7255369.8895708174</v>
      </c>
      <c r="T127" s="1"/>
      <c r="U127" s="1"/>
      <c r="V127" s="78">
        <v>273294.27361174376</v>
      </c>
      <c r="Z127" s="38"/>
    </row>
    <row r="128" spans="1:26" s="31" customFormat="1" ht="15.5" x14ac:dyDescent="0.35">
      <c r="A128" s="5">
        <v>48853</v>
      </c>
      <c r="B128" s="75">
        <v>0</v>
      </c>
      <c r="C128" s="75">
        <v>0</v>
      </c>
      <c r="D128" s="75">
        <v>0</v>
      </c>
      <c r="E128" s="75">
        <v>0</v>
      </c>
      <c r="F128" s="74">
        <v>746581459.37058115</v>
      </c>
      <c r="G128" s="75">
        <v>4695929.1593369637</v>
      </c>
      <c r="H128" s="75">
        <v>1525583.0020845444</v>
      </c>
      <c r="I128" s="75">
        <v>567984869.24351966</v>
      </c>
      <c r="J128" s="8">
        <v>178596590.12706149</v>
      </c>
      <c r="K128" s="8">
        <v>0</v>
      </c>
      <c r="L128" s="8">
        <v>6221512.1614215076</v>
      </c>
      <c r="M128" s="75">
        <v>-1748867.068575586</v>
      </c>
      <c r="N128" s="75">
        <v>51952368.553292461</v>
      </c>
      <c r="O128" s="75">
        <v>50203501.484716877</v>
      </c>
      <c r="P128" s="78">
        <v>128393088.64234461</v>
      </c>
      <c r="Q128" s="78">
        <v>999055.08517648804</v>
      </c>
      <c r="R128" s="78">
        <v>0</v>
      </c>
      <c r="S128" s="78">
        <v>7220567.246597996</v>
      </c>
      <c r="T128" s="1"/>
      <c r="U128" s="1"/>
      <c r="V128" s="78">
        <v>264094.39748560387</v>
      </c>
      <c r="Z128" s="38"/>
    </row>
    <row r="129" spans="1:26" s="31" customFormat="1" ht="15.5" x14ac:dyDescent="0.35">
      <c r="A129" s="5">
        <v>48884</v>
      </c>
      <c r="B129" s="75">
        <v>0</v>
      </c>
      <c r="C129" s="75">
        <v>0</v>
      </c>
      <c r="D129" s="75">
        <v>0</v>
      </c>
      <c r="E129" s="75">
        <v>0</v>
      </c>
      <c r="F129" s="74">
        <v>746581459.37058115</v>
      </c>
      <c r="G129" s="75">
        <v>4695929.1593369637</v>
      </c>
      <c r="H129" s="75">
        <v>1525583.0020845444</v>
      </c>
      <c r="I129" s="75">
        <v>574206381.40494108</v>
      </c>
      <c r="J129" s="8">
        <v>172375077.96564007</v>
      </c>
      <c r="K129" s="8">
        <v>0</v>
      </c>
      <c r="L129" s="8">
        <v>6221512.1614215076</v>
      </c>
      <c r="M129" s="75">
        <v>-1748867.068575586</v>
      </c>
      <c r="N129" s="75">
        <v>50203501.484716877</v>
      </c>
      <c r="O129" s="75">
        <v>48454634.416141294</v>
      </c>
      <c r="P129" s="78">
        <v>123920443.54949877</v>
      </c>
      <c r="Q129" s="78">
        <v>964252.4422036669</v>
      </c>
      <c r="R129" s="78">
        <v>0</v>
      </c>
      <c r="S129" s="78">
        <v>7185764.6036251746</v>
      </c>
      <c r="T129" s="1"/>
      <c r="U129" s="1"/>
      <c r="V129" s="78">
        <v>254894.52135946404</v>
      </c>
      <c r="Z129" s="38"/>
    </row>
    <row r="130" spans="1:26" s="31" customFormat="1" ht="15.5" x14ac:dyDescent="0.35">
      <c r="A130" s="79">
        <v>48914</v>
      </c>
      <c r="B130" s="80">
        <v>0</v>
      </c>
      <c r="C130" s="80">
        <v>0</v>
      </c>
      <c r="D130" s="80">
        <v>0</v>
      </c>
      <c r="E130" s="80">
        <v>0</v>
      </c>
      <c r="F130" s="81">
        <v>746581459.37058115</v>
      </c>
      <c r="G130" s="80">
        <v>4695929.1593369637</v>
      </c>
      <c r="H130" s="80">
        <v>1525583.0020845444</v>
      </c>
      <c r="I130" s="80">
        <v>580427893.5663625</v>
      </c>
      <c r="J130" s="82">
        <v>166153565.80421865</v>
      </c>
      <c r="K130" s="82">
        <v>0</v>
      </c>
      <c r="L130" s="82">
        <v>6221512.1614215076</v>
      </c>
      <c r="M130" s="80">
        <v>-1748867.068575586</v>
      </c>
      <c r="N130" s="80">
        <v>48454634.416141294</v>
      </c>
      <c r="O130" s="80">
        <v>46705767.347565711</v>
      </c>
      <c r="P130" s="83">
        <v>119447798.45665294</v>
      </c>
      <c r="Q130" s="83">
        <v>929449.79923084576</v>
      </c>
      <c r="R130" s="83">
        <v>0</v>
      </c>
      <c r="S130" s="83">
        <v>7150961.9606523532</v>
      </c>
      <c r="T130" s="1"/>
      <c r="U130" s="1"/>
      <c r="V130" s="78">
        <v>245694.64523332418</v>
      </c>
      <c r="Z130" s="38"/>
    </row>
    <row r="131" spans="1:26" s="31" customFormat="1" ht="15.5" x14ac:dyDescent="0.35">
      <c r="A131" s="5">
        <v>48945</v>
      </c>
      <c r="B131" s="75">
        <v>0</v>
      </c>
      <c r="C131" s="75">
        <v>0</v>
      </c>
      <c r="D131" s="75">
        <v>0</v>
      </c>
      <c r="E131" s="75">
        <v>0</v>
      </c>
      <c r="F131" s="74">
        <v>746581459.37058115</v>
      </c>
      <c r="G131" s="75">
        <v>4695929.1593369637</v>
      </c>
      <c r="H131" s="75">
        <v>1525583.0020845444</v>
      </c>
      <c r="I131" s="75">
        <v>586649405.72778392</v>
      </c>
      <c r="J131" s="8">
        <v>159932053.64279723</v>
      </c>
      <c r="K131" s="8">
        <v>0</v>
      </c>
      <c r="L131" s="8">
        <v>6221512.1614215076</v>
      </c>
      <c r="M131" s="75">
        <v>-1748867.068575586</v>
      </c>
      <c r="N131" s="75">
        <v>46705767.347565711</v>
      </c>
      <c r="O131" s="75">
        <v>44956900.278990127</v>
      </c>
      <c r="P131" s="78">
        <v>114975153.36380711</v>
      </c>
      <c r="Q131" s="78">
        <v>894647.15625802462</v>
      </c>
      <c r="R131" s="78">
        <v>0</v>
      </c>
      <c r="S131" s="78">
        <v>7116159.3176795319</v>
      </c>
      <c r="T131" s="1"/>
      <c r="U131" s="1"/>
      <c r="V131" s="78">
        <v>236494.76910718437</v>
      </c>
      <c r="Z131" s="38"/>
    </row>
    <row r="132" spans="1:26" s="31" customFormat="1" ht="15.5" x14ac:dyDescent="0.35">
      <c r="A132" s="5">
        <v>48976</v>
      </c>
      <c r="B132" s="75">
        <v>0</v>
      </c>
      <c r="C132" s="75">
        <v>0</v>
      </c>
      <c r="D132" s="75">
        <v>0</v>
      </c>
      <c r="E132" s="75">
        <v>0</v>
      </c>
      <c r="F132" s="74">
        <v>746581459.37058115</v>
      </c>
      <c r="G132" s="75">
        <v>4695929.1593369637</v>
      </c>
      <c r="H132" s="75">
        <v>1525583.0020845444</v>
      </c>
      <c r="I132" s="75">
        <v>592870917.88920534</v>
      </c>
      <c r="J132" s="8">
        <v>153710541.48137581</v>
      </c>
      <c r="K132" s="8">
        <v>0</v>
      </c>
      <c r="L132" s="8">
        <v>6221512.1614215076</v>
      </c>
      <c r="M132" s="75">
        <v>-1748867.068575586</v>
      </c>
      <c r="N132" s="75">
        <v>44956900.278990127</v>
      </c>
      <c r="O132" s="75">
        <v>43208033.210414544</v>
      </c>
      <c r="P132" s="78">
        <v>110502508.27096127</v>
      </c>
      <c r="Q132" s="78">
        <v>859844.51328520349</v>
      </c>
      <c r="R132" s="78">
        <v>0</v>
      </c>
      <c r="S132" s="78">
        <v>7081356.6747067114</v>
      </c>
      <c r="T132" s="1"/>
      <c r="U132" s="1"/>
      <c r="V132" s="78">
        <v>227294.89298104448</v>
      </c>
      <c r="Z132" s="38"/>
    </row>
    <row r="133" spans="1:26" s="31" customFormat="1" ht="15.5" x14ac:dyDescent="0.35">
      <c r="A133" s="79">
        <v>49004</v>
      </c>
      <c r="B133" s="80">
        <v>0</v>
      </c>
      <c r="C133" s="80">
        <v>0</v>
      </c>
      <c r="D133" s="80">
        <v>0</v>
      </c>
      <c r="E133" s="80">
        <v>0</v>
      </c>
      <c r="F133" s="81">
        <v>746581459.37058115</v>
      </c>
      <c r="G133" s="80">
        <v>4695929.1593369637</v>
      </c>
      <c r="H133" s="80">
        <v>1525583.0020845444</v>
      </c>
      <c r="I133" s="80">
        <v>599092430.05062675</v>
      </c>
      <c r="J133" s="82">
        <v>147489029.3199544</v>
      </c>
      <c r="K133" s="82">
        <v>0</v>
      </c>
      <c r="L133" s="82">
        <v>6221512.1614215076</v>
      </c>
      <c r="M133" s="80">
        <v>-1748867.068575586</v>
      </c>
      <c r="N133" s="80">
        <v>43208033.210414544</v>
      </c>
      <c r="O133" s="80">
        <v>41459166.14183896</v>
      </c>
      <c r="P133" s="83">
        <v>106029863.17811543</v>
      </c>
      <c r="Q133" s="83">
        <v>825041.87031238223</v>
      </c>
      <c r="R133" s="83">
        <v>0</v>
      </c>
      <c r="S133" s="83">
        <v>7046554.0317338901</v>
      </c>
      <c r="T133" s="1"/>
      <c r="U133" s="1"/>
      <c r="V133" s="78">
        <v>218095.01685490462</v>
      </c>
      <c r="Z133" s="38"/>
    </row>
    <row r="134" spans="1:26" s="31" customFormat="1" ht="15.5" x14ac:dyDescent="0.35">
      <c r="A134" s="5">
        <v>49035</v>
      </c>
      <c r="B134" s="75">
        <v>0</v>
      </c>
      <c r="C134" s="75">
        <v>0</v>
      </c>
      <c r="D134" s="75">
        <v>0</v>
      </c>
      <c r="E134" s="75">
        <v>0</v>
      </c>
      <c r="F134" s="74">
        <v>746581459.37058115</v>
      </c>
      <c r="G134" s="75">
        <v>4695929.1593369637</v>
      </c>
      <c r="H134" s="75">
        <v>1525583.0020845444</v>
      </c>
      <c r="I134" s="75">
        <v>605313942.21204817</v>
      </c>
      <c r="J134" s="8">
        <v>141267517.15853298</v>
      </c>
      <c r="K134" s="8">
        <v>0</v>
      </c>
      <c r="L134" s="8">
        <v>6221512.1614215076</v>
      </c>
      <c r="M134" s="75">
        <v>-1748867.068575586</v>
      </c>
      <c r="N134" s="75">
        <v>41459166.14183896</v>
      </c>
      <c r="O134" s="75">
        <v>39710299.073263377</v>
      </c>
      <c r="P134" s="78">
        <v>101557218.0852696</v>
      </c>
      <c r="Q134" s="78">
        <v>790239.22733956121</v>
      </c>
      <c r="R134" s="78">
        <v>0</v>
      </c>
      <c r="S134" s="78">
        <v>7011751.3887610687</v>
      </c>
      <c r="T134" s="1"/>
      <c r="U134" s="1"/>
      <c r="V134" s="78">
        <v>208895.14072876479</v>
      </c>
      <c r="Z134" s="38"/>
    </row>
    <row r="135" spans="1:26" s="31" customFormat="1" ht="15.5" x14ac:dyDescent="0.35">
      <c r="A135" s="5">
        <v>49065</v>
      </c>
      <c r="B135" s="75">
        <v>0</v>
      </c>
      <c r="C135" s="75">
        <v>0</v>
      </c>
      <c r="D135" s="75">
        <v>0</v>
      </c>
      <c r="E135" s="75">
        <v>0</v>
      </c>
      <c r="F135" s="74">
        <v>746581459.37058115</v>
      </c>
      <c r="G135" s="75">
        <v>4695929.1593369637</v>
      </c>
      <c r="H135" s="75">
        <v>1525583.0020845444</v>
      </c>
      <c r="I135" s="75">
        <v>611535454.37346959</v>
      </c>
      <c r="J135" s="8">
        <v>135046004.99711156</v>
      </c>
      <c r="K135" s="8">
        <v>0</v>
      </c>
      <c r="L135" s="8">
        <v>6221512.1614215076</v>
      </c>
      <c r="M135" s="75">
        <v>-1748867.068575586</v>
      </c>
      <c r="N135" s="75">
        <v>39710299.073263377</v>
      </c>
      <c r="O135" s="75">
        <v>37961432.004687794</v>
      </c>
      <c r="P135" s="78">
        <v>97084572.992423773</v>
      </c>
      <c r="Q135" s="78">
        <v>755436.58436674008</v>
      </c>
      <c r="R135" s="78">
        <v>0</v>
      </c>
      <c r="S135" s="78">
        <v>6976948.7457882473</v>
      </c>
      <c r="T135" s="1"/>
      <c r="U135" s="1"/>
      <c r="V135" s="78">
        <v>199695.26460262496</v>
      </c>
      <c r="Z135" s="38"/>
    </row>
    <row r="136" spans="1:26" s="31" customFormat="1" ht="15.5" x14ac:dyDescent="0.35">
      <c r="A136" s="79">
        <v>49096</v>
      </c>
      <c r="B136" s="80">
        <v>0</v>
      </c>
      <c r="C136" s="80">
        <v>0</v>
      </c>
      <c r="D136" s="80">
        <v>0</v>
      </c>
      <c r="E136" s="80">
        <v>0</v>
      </c>
      <c r="F136" s="81">
        <v>746581459.37058115</v>
      </c>
      <c r="G136" s="80">
        <v>4695929.1593369637</v>
      </c>
      <c r="H136" s="80">
        <v>1525583.0020845444</v>
      </c>
      <c r="I136" s="80">
        <v>617756966.53489101</v>
      </c>
      <c r="J136" s="82">
        <v>128824492.83569014</v>
      </c>
      <c r="K136" s="82">
        <v>0</v>
      </c>
      <c r="L136" s="82">
        <v>6221512.1614215076</v>
      </c>
      <c r="M136" s="80">
        <v>-1748867.068575586</v>
      </c>
      <c r="N136" s="80">
        <v>37961432.004687794</v>
      </c>
      <c r="O136" s="80">
        <v>36212564.93611221</v>
      </c>
      <c r="P136" s="83">
        <v>92611927.899577931</v>
      </c>
      <c r="Q136" s="83">
        <v>720633.94139391894</v>
      </c>
      <c r="R136" s="83">
        <v>0</v>
      </c>
      <c r="S136" s="83">
        <v>6942146.1028154269</v>
      </c>
      <c r="T136" s="1"/>
      <c r="U136" s="1"/>
      <c r="V136" s="78">
        <v>190495.38847648512</v>
      </c>
      <c r="Z136" s="38"/>
    </row>
    <row r="137" spans="1:26" s="31" customFormat="1" ht="15.5" x14ac:dyDescent="0.35">
      <c r="A137" s="5">
        <v>49126</v>
      </c>
      <c r="B137" s="75">
        <v>0</v>
      </c>
      <c r="C137" s="75">
        <v>0</v>
      </c>
      <c r="D137" s="75">
        <v>0</v>
      </c>
      <c r="E137" s="75">
        <v>0</v>
      </c>
      <c r="F137" s="74">
        <v>746581459.37058115</v>
      </c>
      <c r="G137" s="75">
        <v>4695929.1593369637</v>
      </c>
      <c r="H137" s="75">
        <v>1525583.0020845444</v>
      </c>
      <c r="I137" s="75">
        <v>623978478.69631243</v>
      </c>
      <c r="J137" s="8">
        <v>122602980.67426872</v>
      </c>
      <c r="K137" s="8">
        <v>0</v>
      </c>
      <c r="L137" s="8">
        <v>6221512.1614215076</v>
      </c>
      <c r="M137" s="75">
        <v>-1748867.068575586</v>
      </c>
      <c r="N137" s="75">
        <v>36212564.93611221</v>
      </c>
      <c r="O137" s="75">
        <v>34463697.867536627</v>
      </c>
      <c r="P137" s="78">
        <v>88139282.806732088</v>
      </c>
      <c r="Q137" s="78">
        <v>685831.29842109769</v>
      </c>
      <c r="R137" s="78">
        <v>0</v>
      </c>
      <c r="S137" s="78">
        <v>6907343.4598426055</v>
      </c>
      <c r="T137" s="1"/>
      <c r="U137" s="1"/>
      <c r="V137" s="78">
        <v>181295.51235034523</v>
      </c>
      <c r="Z137" s="38"/>
    </row>
    <row r="138" spans="1:26" s="31" customFormat="1" ht="15.5" x14ac:dyDescent="0.35">
      <c r="A138" s="5">
        <v>49157</v>
      </c>
      <c r="B138" s="75">
        <v>0</v>
      </c>
      <c r="C138" s="75">
        <v>0</v>
      </c>
      <c r="D138" s="75">
        <v>0</v>
      </c>
      <c r="E138" s="75">
        <v>0</v>
      </c>
      <c r="F138" s="74">
        <v>746581459.37058115</v>
      </c>
      <c r="G138" s="75">
        <v>4695929.1593369637</v>
      </c>
      <c r="H138" s="75">
        <v>1525583.0020845444</v>
      </c>
      <c r="I138" s="75">
        <v>630199990.85773385</v>
      </c>
      <c r="J138" s="8">
        <v>116381468.5128473</v>
      </c>
      <c r="K138" s="8">
        <v>0</v>
      </c>
      <c r="L138" s="8">
        <v>6221512.1614215076</v>
      </c>
      <c r="M138" s="75">
        <v>-1748867.068575586</v>
      </c>
      <c r="N138" s="75">
        <v>34463697.867536627</v>
      </c>
      <c r="O138" s="75">
        <v>32714830.79896104</v>
      </c>
      <c r="P138" s="78">
        <v>83666637.713886261</v>
      </c>
      <c r="Q138" s="78">
        <v>651028.65544827667</v>
      </c>
      <c r="R138" s="78">
        <v>0</v>
      </c>
      <c r="S138" s="78">
        <v>6872540.8168697841</v>
      </c>
      <c r="T138" s="1"/>
      <c r="U138" s="1"/>
      <c r="V138" s="78">
        <v>172095.6362242054</v>
      </c>
      <c r="Z138" s="38"/>
    </row>
    <row r="139" spans="1:26" s="31" customFormat="1" ht="15.5" x14ac:dyDescent="0.35">
      <c r="A139" s="79">
        <v>49188</v>
      </c>
      <c r="B139" s="80">
        <v>0</v>
      </c>
      <c r="C139" s="80">
        <v>0</v>
      </c>
      <c r="D139" s="80">
        <v>0</v>
      </c>
      <c r="E139" s="80">
        <v>0</v>
      </c>
      <c r="F139" s="81">
        <v>746581459.37058115</v>
      </c>
      <c r="G139" s="80">
        <v>4695929.1593369637</v>
      </c>
      <c r="H139" s="80">
        <v>1525583.0020845444</v>
      </c>
      <c r="I139" s="80">
        <v>636421503.01915526</v>
      </c>
      <c r="J139" s="82">
        <v>110159956.35142589</v>
      </c>
      <c r="K139" s="82">
        <v>0</v>
      </c>
      <c r="L139" s="82">
        <v>6221512.1614215076</v>
      </c>
      <c r="M139" s="80">
        <v>-1748867.068575586</v>
      </c>
      <c r="N139" s="80">
        <v>32714830.79896104</v>
      </c>
      <c r="O139" s="80">
        <v>30965963.730385453</v>
      </c>
      <c r="P139" s="83">
        <v>79193992.621040434</v>
      </c>
      <c r="Q139" s="83">
        <v>616226.01247545553</v>
      </c>
      <c r="R139" s="83">
        <v>0</v>
      </c>
      <c r="S139" s="83">
        <v>6837738.1738969628</v>
      </c>
      <c r="T139" s="1"/>
      <c r="U139" s="1"/>
      <c r="V139" s="78">
        <v>162895.76009806557</v>
      </c>
      <c r="Z139" s="38"/>
    </row>
    <row r="140" spans="1:26" s="31" customFormat="1" ht="15.5" x14ac:dyDescent="0.35">
      <c r="A140" s="5">
        <v>49218</v>
      </c>
      <c r="B140" s="75">
        <v>0</v>
      </c>
      <c r="C140" s="75">
        <v>0</v>
      </c>
      <c r="D140" s="75">
        <v>0</v>
      </c>
      <c r="E140" s="75">
        <v>0</v>
      </c>
      <c r="F140" s="74">
        <v>746581459.37058115</v>
      </c>
      <c r="G140" s="75">
        <v>4695929.1593369637</v>
      </c>
      <c r="H140" s="75">
        <v>1525583.0020845444</v>
      </c>
      <c r="I140" s="75">
        <v>642643015.18057668</v>
      </c>
      <c r="J140" s="8">
        <v>103938444.19000447</v>
      </c>
      <c r="K140" s="8">
        <v>0</v>
      </c>
      <c r="L140" s="8">
        <v>6221512.1614215076</v>
      </c>
      <c r="M140" s="75">
        <v>-1748867.068575586</v>
      </c>
      <c r="N140" s="75">
        <v>30965963.730385453</v>
      </c>
      <c r="O140" s="75">
        <v>29217096.661809865</v>
      </c>
      <c r="P140" s="78">
        <v>74721347.528194606</v>
      </c>
      <c r="Q140" s="78">
        <v>581423.36950263439</v>
      </c>
      <c r="R140" s="78">
        <v>0</v>
      </c>
      <c r="S140" s="78">
        <v>6802935.5309241423</v>
      </c>
      <c r="T140" s="1"/>
      <c r="U140" s="1"/>
      <c r="V140" s="78">
        <v>153695.88397192574</v>
      </c>
      <c r="Z140" s="38"/>
    </row>
    <row r="141" spans="1:26" s="31" customFormat="1" ht="15.5" x14ac:dyDescent="0.35">
      <c r="A141" s="5">
        <v>49249</v>
      </c>
      <c r="B141" s="75">
        <v>0</v>
      </c>
      <c r="C141" s="75">
        <v>0</v>
      </c>
      <c r="D141" s="75">
        <v>0</v>
      </c>
      <c r="E141" s="75">
        <v>0</v>
      </c>
      <c r="F141" s="74">
        <v>746581459.37058115</v>
      </c>
      <c r="G141" s="75">
        <v>4695929.1593369637</v>
      </c>
      <c r="H141" s="75">
        <v>1525583.0020845444</v>
      </c>
      <c r="I141" s="75">
        <v>648864527.3419981</v>
      </c>
      <c r="J141" s="8">
        <v>97716932.02858305</v>
      </c>
      <c r="K141" s="8">
        <v>0</v>
      </c>
      <c r="L141" s="8">
        <v>6221512.1614215076</v>
      </c>
      <c r="M141" s="75">
        <v>-1748867.068575586</v>
      </c>
      <c r="N141" s="75">
        <v>29217096.661809865</v>
      </c>
      <c r="O141" s="75">
        <v>27468229.593234278</v>
      </c>
      <c r="P141" s="78">
        <v>70248702.435348779</v>
      </c>
      <c r="Q141" s="78">
        <v>546620.72652981337</v>
      </c>
      <c r="R141" s="78">
        <v>0</v>
      </c>
      <c r="S141" s="78">
        <v>6768132.887951321</v>
      </c>
      <c r="T141" s="1"/>
      <c r="U141" s="1"/>
      <c r="V141" s="78">
        <v>144496.00784578591</v>
      </c>
      <c r="Z141" s="38"/>
    </row>
    <row r="142" spans="1:26" s="31" customFormat="1" ht="15.5" x14ac:dyDescent="0.35">
      <c r="A142" s="79">
        <v>49279</v>
      </c>
      <c r="B142" s="80">
        <v>0</v>
      </c>
      <c r="C142" s="80">
        <v>0</v>
      </c>
      <c r="D142" s="80">
        <v>0</v>
      </c>
      <c r="E142" s="80">
        <v>0</v>
      </c>
      <c r="F142" s="81">
        <v>746581459.37058115</v>
      </c>
      <c r="G142" s="80">
        <v>4695929.1593369637</v>
      </c>
      <c r="H142" s="80">
        <v>1525583.0020845444</v>
      </c>
      <c r="I142" s="80">
        <v>655086039.50341952</v>
      </c>
      <c r="J142" s="82">
        <v>91495419.867161632</v>
      </c>
      <c r="K142" s="82">
        <v>0</v>
      </c>
      <c r="L142" s="82">
        <v>6221512.1614215076</v>
      </c>
      <c r="M142" s="80">
        <v>-1748867.068575586</v>
      </c>
      <c r="N142" s="80">
        <v>27468229.593234278</v>
      </c>
      <c r="O142" s="80">
        <v>25719362.524658691</v>
      </c>
      <c r="P142" s="83">
        <v>65776057.342502937</v>
      </c>
      <c r="Q142" s="83">
        <v>511818.08355699218</v>
      </c>
      <c r="R142" s="83">
        <v>0</v>
      </c>
      <c r="S142" s="83">
        <v>6733330.2449784996</v>
      </c>
      <c r="T142" s="1"/>
      <c r="U142" s="1"/>
      <c r="V142" s="78">
        <v>135296.13171964601</v>
      </c>
      <c r="Z142" s="38"/>
    </row>
    <row r="143" spans="1:26" s="31" customFormat="1" ht="15.5" x14ac:dyDescent="0.35">
      <c r="A143" s="5">
        <v>49310</v>
      </c>
      <c r="B143" s="75">
        <v>0</v>
      </c>
      <c r="C143" s="75">
        <v>0</v>
      </c>
      <c r="D143" s="75">
        <v>0</v>
      </c>
      <c r="E143" s="75">
        <v>0</v>
      </c>
      <c r="F143" s="74">
        <v>746581459.37058115</v>
      </c>
      <c r="G143" s="75">
        <v>4551177.7037678566</v>
      </c>
      <c r="H143" s="75">
        <v>1473814.0472089646</v>
      </c>
      <c r="I143" s="75">
        <v>661111031.25439632</v>
      </c>
      <c r="J143" s="8">
        <v>85470428.116184831</v>
      </c>
      <c r="K143" s="8">
        <v>0</v>
      </c>
      <c r="L143" s="8">
        <v>6024991.7509768214</v>
      </c>
      <c r="M143" s="75">
        <v>-1693625.1811995846</v>
      </c>
      <c r="N143" s="75">
        <v>25719362.524658691</v>
      </c>
      <c r="O143" s="75">
        <v>24025737.343459107</v>
      </c>
      <c r="P143" s="78">
        <v>61444690.772725724</v>
      </c>
      <c r="Q143" s="78">
        <v>478114.7600910886</v>
      </c>
      <c r="R143" s="78">
        <v>0</v>
      </c>
      <c r="S143" s="78">
        <v>6503106.5110679101</v>
      </c>
      <c r="T143" s="1"/>
      <c r="U143" s="1"/>
      <c r="V143" s="78">
        <v>126386.85430736217</v>
      </c>
      <c r="Z143" s="38"/>
    </row>
    <row r="144" spans="1:26" s="31" customFormat="1" ht="15.5" x14ac:dyDescent="0.35">
      <c r="A144" s="5">
        <v>49341</v>
      </c>
      <c r="B144" s="75">
        <v>0</v>
      </c>
      <c r="C144" s="75">
        <v>0</v>
      </c>
      <c r="D144" s="75">
        <v>0</v>
      </c>
      <c r="E144" s="75">
        <v>0</v>
      </c>
      <c r="F144" s="74">
        <v>746581459.37058115</v>
      </c>
      <c r="G144" s="75">
        <v>4406426.2481987495</v>
      </c>
      <c r="H144" s="75">
        <v>1422045.0923333843</v>
      </c>
      <c r="I144" s="75">
        <v>666939502.5949285</v>
      </c>
      <c r="J144" s="8">
        <v>79641956.775652647</v>
      </c>
      <c r="K144" s="8">
        <v>0</v>
      </c>
      <c r="L144" s="8">
        <v>5828471.3405321334</v>
      </c>
      <c r="M144" s="75">
        <v>-1638383.2938235828</v>
      </c>
      <c r="N144" s="75">
        <v>24025737.343459107</v>
      </c>
      <c r="O144" s="75">
        <v>22387354.049635526</v>
      </c>
      <c r="P144" s="78">
        <v>57254602.726017118</v>
      </c>
      <c r="Q144" s="78">
        <v>445510.75613210257</v>
      </c>
      <c r="R144" s="78">
        <v>0</v>
      </c>
      <c r="S144" s="78">
        <v>6273982.0966642359</v>
      </c>
      <c r="T144" s="1"/>
      <c r="U144" s="1"/>
      <c r="V144" s="78">
        <v>117768.17560893427</v>
      </c>
      <c r="Z144" s="38"/>
    </row>
    <row r="145" spans="1:26" s="31" customFormat="1" ht="15.5" x14ac:dyDescent="0.35">
      <c r="A145" s="79">
        <v>49369</v>
      </c>
      <c r="B145" s="80">
        <v>0</v>
      </c>
      <c r="C145" s="80">
        <v>0</v>
      </c>
      <c r="D145" s="80">
        <v>0</v>
      </c>
      <c r="E145" s="80">
        <v>0</v>
      </c>
      <c r="F145" s="81">
        <v>746581459.37058115</v>
      </c>
      <c r="G145" s="80">
        <v>4261674.7926296433</v>
      </c>
      <c r="H145" s="80">
        <v>1370276.1374578043</v>
      </c>
      <c r="I145" s="80">
        <v>672571453.52501595</v>
      </c>
      <c r="J145" s="82">
        <v>74010005.8455652</v>
      </c>
      <c r="K145" s="82">
        <v>0</v>
      </c>
      <c r="L145" s="82">
        <v>5631950.9300874472</v>
      </c>
      <c r="M145" s="80">
        <v>-1583141.4064475815</v>
      </c>
      <c r="N145" s="80">
        <v>22387354.049635526</v>
      </c>
      <c r="O145" s="80">
        <v>20804212.643187944</v>
      </c>
      <c r="P145" s="83">
        <v>53205793.20237726</v>
      </c>
      <c r="Q145" s="83">
        <v>414006.07168003509</v>
      </c>
      <c r="R145" s="83">
        <v>0</v>
      </c>
      <c r="S145" s="83">
        <v>6045957.0017674826</v>
      </c>
      <c r="T145" s="1"/>
      <c r="U145" s="1"/>
      <c r="V145" s="78">
        <v>109440.09562436263</v>
      </c>
      <c r="Z145" s="38"/>
    </row>
    <row r="146" spans="1:26" s="31" customFormat="1" ht="15.5" x14ac:dyDescent="0.35">
      <c r="A146" s="5">
        <v>49400</v>
      </c>
      <c r="B146" s="75">
        <v>0</v>
      </c>
      <c r="C146" s="75">
        <v>0</v>
      </c>
      <c r="D146" s="75">
        <v>0</v>
      </c>
      <c r="E146" s="75">
        <v>0</v>
      </c>
      <c r="F146" s="74">
        <v>746581459.37058115</v>
      </c>
      <c r="G146" s="75">
        <v>4116923.3370605358</v>
      </c>
      <c r="H146" s="75">
        <v>1318507.182582224</v>
      </c>
      <c r="I146" s="75">
        <v>678006884.04465878</v>
      </c>
      <c r="J146" s="8">
        <v>68574575.32592237</v>
      </c>
      <c r="K146" s="8">
        <v>0</v>
      </c>
      <c r="L146" s="8">
        <v>5435430.51964276</v>
      </c>
      <c r="M146" s="75">
        <v>-1527899.5190715799</v>
      </c>
      <c r="N146" s="75">
        <v>20804212.643187944</v>
      </c>
      <c r="O146" s="75">
        <v>19276313.124116365</v>
      </c>
      <c r="P146" s="78">
        <v>49298262.201806009</v>
      </c>
      <c r="Q146" s="78">
        <v>383600.70673488511</v>
      </c>
      <c r="R146" s="78">
        <v>0</v>
      </c>
      <c r="S146" s="78">
        <v>5819031.2263776455</v>
      </c>
      <c r="T146" s="1"/>
      <c r="U146" s="1"/>
      <c r="V146" s="78">
        <v>101402.61435364695</v>
      </c>
      <c r="Z146" s="38"/>
    </row>
    <row r="147" spans="1:26" s="31" customFormat="1" ht="15.5" x14ac:dyDescent="0.35">
      <c r="A147" s="5">
        <v>49430</v>
      </c>
      <c r="B147" s="75">
        <v>0</v>
      </c>
      <c r="C147" s="75">
        <v>0</v>
      </c>
      <c r="D147" s="75">
        <v>0</v>
      </c>
      <c r="E147" s="75">
        <v>0</v>
      </c>
      <c r="F147" s="74">
        <v>746581459.37058115</v>
      </c>
      <c r="G147" s="75">
        <v>3972171.8814914292</v>
      </c>
      <c r="H147" s="75">
        <v>1266738.227706644</v>
      </c>
      <c r="I147" s="75">
        <v>683245794.15385687</v>
      </c>
      <c r="J147" s="8">
        <v>63335665.216724277</v>
      </c>
      <c r="K147" s="8">
        <v>0</v>
      </c>
      <c r="L147" s="8">
        <v>5238910.1091980729</v>
      </c>
      <c r="M147" s="75">
        <v>-1472657.6316955783</v>
      </c>
      <c r="N147" s="75">
        <v>19276313.124116365</v>
      </c>
      <c r="O147" s="75">
        <v>17803655.492420785</v>
      </c>
      <c r="P147" s="78">
        <v>45532009.724303491</v>
      </c>
      <c r="Q147" s="78">
        <v>354294.66129665362</v>
      </c>
      <c r="R147" s="78">
        <v>0</v>
      </c>
      <c r="S147" s="78">
        <v>5593204.7704947265</v>
      </c>
      <c r="T147" s="1"/>
      <c r="U147" s="1"/>
      <c r="V147" s="78">
        <v>93655.731796787484</v>
      </c>
      <c r="Z147" s="38"/>
    </row>
    <row r="148" spans="1:26" s="31" customFormat="1" ht="15.5" x14ac:dyDescent="0.35">
      <c r="A148" s="79">
        <v>49461</v>
      </c>
      <c r="B148" s="84">
        <v>0</v>
      </c>
      <c r="C148" s="84">
        <v>0</v>
      </c>
      <c r="D148" s="84">
        <v>0</v>
      </c>
      <c r="E148" s="84">
        <v>0</v>
      </c>
      <c r="F148" s="81">
        <v>746581459.37058115</v>
      </c>
      <c r="G148" s="80">
        <v>3827420.4259223221</v>
      </c>
      <c r="H148" s="80">
        <v>1214969.2728310635</v>
      </c>
      <c r="I148" s="84">
        <v>688288183.85261023</v>
      </c>
      <c r="J148" s="82">
        <v>58293275.51797092</v>
      </c>
      <c r="K148" s="82">
        <v>0</v>
      </c>
      <c r="L148" s="82">
        <v>5042389.6987533858</v>
      </c>
      <c r="M148" s="84">
        <v>-1417415.7443195768</v>
      </c>
      <c r="N148" s="84">
        <v>17803655.492420785</v>
      </c>
      <c r="O148" s="84">
        <v>16386239.748101208</v>
      </c>
      <c r="P148" s="85">
        <v>41907035.769869715</v>
      </c>
      <c r="Q148" s="85">
        <v>326087.93536534061</v>
      </c>
      <c r="R148" s="83">
        <v>0</v>
      </c>
      <c r="S148" s="85">
        <v>5368477.6341187265</v>
      </c>
      <c r="T148" s="1"/>
      <c r="U148" s="1"/>
      <c r="V148" s="86">
        <v>86199.447953784256</v>
      </c>
      <c r="Z148" s="38"/>
    </row>
    <row r="149" spans="1:26" s="31" customFormat="1" ht="17" x14ac:dyDescent="0.5">
      <c r="A149" s="5">
        <v>49491</v>
      </c>
      <c r="B149" s="29">
        <v>0</v>
      </c>
      <c r="C149" s="87"/>
      <c r="D149" s="87"/>
      <c r="E149" s="87"/>
      <c r="F149" s="74">
        <v>746581459.37058115</v>
      </c>
      <c r="G149" s="75">
        <v>3669391.9693010575</v>
      </c>
      <c r="H149" s="75">
        <v>1165021.7279925095</v>
      </c>
      <c r="I149" s="29">
        <v>693122597.54990387</v>
      </c>
      <c r="J149" s="8">
        <v>53458861.82067728</v>
      </c>
      <c r="K149" s="8">
        <v>0</v>
      </c>
      <c r="L149" s="8">
        <v>4834413.6972935665</v>
      </c>
      <c r="M149" s="29">
        <v>-1358953.6903092216</v>
      </c>
      <c r="N149" s="29">
        <v>16386239.748101208</v>
      </c>
      <c r="O149" s="29">
        <v>15027286.057791987</v>
      </c>
      <c r="P149" s="88">
        <v>38431575.762885295</v>
      </c>
      <c r="Q149" s="88">
        <v>299044.61060369801</v>
      </c>
      <c r="R149" s="78">
        <v>0</v>
      </c>
      <c r="S149" s="88">
        <v>5133458.3078972641</v>
      </c>
      <c r="T149" s="1"/>
      <c r="U149" s="1"/>
      <c r="V149" s="86">
        <v>79050.702439244531</v>
      </c>
      <c r="Z149" s="38"/>
    </row>
    <row r="150" spans="1:26" s="31" customFormat="1" ht="17" x14ac:dyDescent="0.5">
      <c r="A150" s="5">
        <v>49522</v>
      </c>
      <c r="B150" s="29">
        <v>0</v>
      </c>
      <c r="C150" s="87"/>
      <c r="D150" s="87"/>
      <c r="E150" s="87"/>
      <c r="F150" s="74">
        <v>746581459.37058115</v>
      </c>
      <c r="G150" s="75">
        <v>3511363.5126797939</v>
      </c>
      <c r="H150" s="75">
        <v>1115074.1831539557</v>
      </c>
      <c r="I150" s="29">
        <v>697749035.24573767</v>
      </c>
      <c r="J150" s="8">
        <v>48832424.124843478</v>
      </c>
      <c r="K150" s="8">
        <v>0</v>
      </c>
      <c r="L150" s="8">
        <v>4626437.6958337501</v>
      </c>
      <c r="M150" s="29">
        <v>-1300491.6362988672</v>
      </c>
      <c r="N150" s="29">
        <v>15027286.057791987</v>
      </c>
      <c r="O150" s="29">
        <v>13726794.42149312</v>
      </c>
      <c r="P150" s="88">
        <v>35105629.703350358</v>
      </c>
      <c r="Q150" s="88">
        <v>273164.68701172667</v>
      </c>
      <c r="R150" s="78">
        <v>0</v>
      </c>
      <c r="S150" s="88">
        <v>4899602.3828454763</v>
      </c>
      <c r="T150" s="1"/>
      <c r="U150" s="1"/>
      <c r="V150" s="86">
        <v>72209.495253168556</v>
      </c>
      <c r="Z150" s="38"/>
    </row>
    <row r="151" spans="1:26" s="31" customFormat="1" ht="17" x14ac:dyDescent="0.5">
      <c r="A151" s="79">
        <v>49553</v>
      </c>
      <c r="B151" s="84">
        <v>0</v>
      </c>
      <c r="C151" s="89"/>
      <c r="D151" s="89"/>
      <c r="E151" s="89"/>
      <c r="F151" s="81">
        <v>746581459.37058115</v>
      </c>
      <c r="G151" s="80">
        <v>3353335.0560585288</v>
      </c>
      <c r="H151" s="80">
        <v>1065126.6383154015</v>
      </c>
      <c r="I151" s="84">
        <v>702167496.94011164</v>
      </c>
      <c r="J151" s="82">
        <v>44413962.430469513</v>
      </c>
      <c r="K151" s="82">
        <v>0</v>
      </c>
      <c r="L151" s="82">
        <v>4418461.6943739299</v>
      </c>
      <c r="M151" s="84">
        <v>-1242029.5822885118</v>
      </c>
      <c r="N151" s="84">
        <v>13726794.42149312</v>
      </c>
      <c r="O151" s="84">
        <v>12484764.839204609</v>
      </c>
      <c r="P151" s="85">
        <v>31929197.591264904</v>
      </c>
      <c r="Q151" s="85">
        <v>248448.16458942663</v>
      </c>
      <c r="R151" s="83">
        <v>0</v>
      </c>
      <c r="S151" s="85">
        <v>4666909.8589633564</v>
      </c>
      <c r="T151" s="1"/>
      <c r="U151" s="1"/>
      <c r="V151" s="86">
        <v>65675.826395556331</v>
      </c>
      <c r="Z151" s="38"/>
    </row>
    <row r="152" spans="1:26" s="31" customFormat="1" ht="17" x14ac:dyDescent="0.5">
      <c r="A152" s="5">
        <v>49583</v>
      </c>
      <c r="B152" s="29">
        <v>0</v>
      </c>
      <c r="C152" s="87"/>
      <c r="D152" s="87"/>
      <c r="E152" s="87"/>
      <c r="F152" s="74">
        <v>746581459.37058115</v>
      </c>
      <c r="G152" s="75">
        <v>3195306.5994372647</v>
      </c>
      <c r="H152" s="75">
        <v>1015179.0934768475</v>
      </c>
      <c r="I152" s="29">
        <v>706377982.63302577</v>
      </c>
      <c r="J152" s="8">
        <v>40203476.737555385</v>
      </c>
      <c r="K152" s="8">
        <v>0</v>
      </c>
      <c r="L152" s="8">
        <v>4210485.6929141125</v>
      </c>
      <c r="M152" s="29">
        <v>-1183567.5282781571</v>
      </c>
      <c r="N152" s="29">
        <v>12484764.839204609</v>
      </c>
      <c r="O152" s="29">
        <v>11301197.310926452</v>
      </c>
      <c r="P152" s="88">
        <v>28902279.426628932</v>
      </c>
      <c r="Q152" s="88">
        <v>224895.04333679791</v>
      </c>
      <c r="R152" s="78">
        <v>0</v>
      </c>
      <c r="S152" s="88">
        <v>4435380.73625091</v>
      </c>
      <c r="T152" s="1"/>
      <c r="U152" s="1"/>
      <c r="V152" s="86">
        <v>59449.695866407863</v>
      </c>
      <c r="Z152" s="38"/>
    </row>
    <row r="153" spans="1:26" s="31" customFormat="1" ht="17" x14ac:dyDescent="0.5">
      <c r="A153" s="5">
        <v>49614</v>
      </c>
      <c r="B153" s="29">
        <v>0</v>
      </c>
      <c r="C153" s="87"/>
      <c r="D153" s="87"/>
      <c r="E153" s="87"/>
      <c r="F153" s="74">
        <v>746581459.37058115</v>
      </c>
      <c r="G153" s="75">
        <v>3037278.1428160002</v>
      </c>
      <c r="H153" s="75">
        <v>965231.54863829352</v>
      </c>
      <c r="I153" s="29">
        <v>710380492.32448006</v>
      </c>
      <c r="J153" s="8">
        <v>36200967.046101093</v>
      </c>
      <c r="K153" s="8">
        <v>0</v>
      </c>
      <c r="L153" s="8">
        <v>4002509.6914542937</v>
      </c>
      <c r="M153" s="29">
        <v>-1125105.474267802</v>
      </c>
      <c r="N153" s="29">
        <v>11301197.310926452</v>
      </c>
      <c r="O153" s="29">
        <v>10176091.836658651</v>
      </c>
      <c r="P153" s="88">
        <v>26024875.209442444</v>
      </c>
      <c r="Q153" s="88">
        <v>202505.3232538405</v>
      </c>
      <c r="R153" s="78">
        <v>0</v>
      </c>
      <c r="S153" s="88">
        <v>4205015.0147081343</v>
      </c>
      <c r="T153" s="1"/>
      <c r="U153" s="1"/>
      <c r="V153" s="86">
        <v>53531.103665723153</v>
      </c>
      <c r="Z153" s="38"/>
    </row>
    <row r="154" spans="1:26" s="31" customFormat="1" ht="17" x14ac:dyDescent="0.5">
      <c r="A154" s="79">
        <v>49644</v>
      </c>
      <c r="B154" s="84">
        <v>0</v>
      </c>
      <c r="C154" s="89"/>
      <c r="D154" s="89"/>
      <c r="E154" s="89"/>
      <c r="F154" s="81">
        <v>746581459.37058115</v>
      </c>
      <c r="G154" s="80">
        <v>2879249.6861947356</v>
      </c>
      <c r="H154" s="80">
        <v>915284.00379973953</v>
      </c>
      <c r="I154" s="84">
        <v>714175026.01447463</v>
      </c>
      <c r="J154" s="82">
        <v>32406433.35610652</v>
      </c>
      <c r="K154" s="82">
        <v>0</v>
      </c>
      <c r="L154" s="82">
        <v>3794533.6899944749</v>
      </c>
      <c r="M154" s="84">
        <v>-1066643.4202574471</v>
      </c>
      <c r="N154" s="84">
        <v>10176091.836658651</v>
      </c>
      <c r="O154" s="84">
        <v>9109448.4164012037</v>
      </c>
      <c r="P154" s="85">
        <v>23296984.939705316</v>
      </c>
      <c r="Q154" s="85">
        <v>181279.00434055345</v>
      </c>
      <c r="R154" s="83">
        <v>0</v>
      </c>
      <c r="S154" s="85">
        <v>3975812.6943350285</v>
      </c>
      <c r="T154" s="1"/>
      <c r="U154" s="1"/>
      <c r="V154" s="86">
        <v>47920.049793501945</v>
      </c>
      <c r="Z154" s="38"/>
    </row>
    <row r="155" spans="1:26" s="31" customFormat="1" ht="17" x14ac:dyDescent="0.5">
      <c r="A155" s="5">
        <v>49675</v>
      </c>
      <c r="B155" s="29"/>
      <c r="C155" s="87"/>
      <c r="D155" s="87"/>
      <c r="E155" s="87"/>
      <c r="F155" s="74">
        <v>746581459.37058115</v>
      </c>
      <c r="G155" s="75">
        <v>2721221.2295734715</v>
      </c>
      <c r="H155" s="75">
        <v>865336.45896118542</v>
      </c>
      <c r="I155" s="29">
        <v>717761583.70300925</v>
      </c>
      <c r="J155" s="8">
        <v>28819875.667571902</v>
      </c>
      <c r="K155" s="8">
        <v>0</v>
      </c>
      <c r="L155" s="8">
        <v>3586557.688534657</v>
      </c>
      <c r="M155" s="29">
        <v>-1008181.3662470921</v>
      </c>
      <c r="N155" s="29">
        <v>9109448.4164012037</v>
      </c>
      <c r="O155" s="29">
        <v>8101267.0501541113</v>
      </c>
      <c r="P155" s="88">
        <v>20718608.61741779</v>
      </c>
      <c r="Q155" s="88">
        <v>161216.08659693867</v>
      </c>
      <c r="R155" s="78">
        <v>0</v>
      </c>
      <c r="S155" s="88">
        <v>3747773.7751315958</v>
      </c>
      <c r="T155" s="1"/>
      <c r="U155" s="1"/>
      <c r="V155" s="86">
        <v>42616.534249744742</v>
      </c>
      <c r="Z155" s="38"/>
    </row>
    <row r="156" spans="1:26" s="31" customFormat="1" ht="17" x14ac:dyDescent="0.5">
      <c r="A156" s="5">
        <v>49706</v>
      </c>
      <c r="B156" s="29"/>
      <c r="C156" s="87"/>
      <c r="D156" s="87"/>
      <c r="E156" s="87"/>
      <c r="F156" s="74">
        <v>746581459.37058115</v>
      </c>
      <c r="G156" s="75">
        <v>2563192.7729522069</v>
      </c>
      <c r="H156" s="75">
        <v>815388.91412263154</v>
      </c>
      <c r="I156" s="29">
        <v>721140165.39008403</v>
      </c>
      <c r="J156" s="8">
        <v>25441293.980497122</v>
      </c>
      <c r="K156" s="8">
        <v>0</v>
      </c>
      <c r="L156" s="8">
        <v>3378581.6870748382</v>
      </c>
      <c r="M156" s="29">
        <v>-949719.31223673711</v>
      </c>
      <c r="N156" s="29">
        <v>8101267.0501541113</v>
      </c>
      <c r="O156" s="29">
        <v>7151547.7379173739</v>
      </c>
      <c r="P156" s="88">
        <v>18289746.242579747</v>
      </c>
      <c r="Q156" s="88">
        <v>142316.57002299518</v>
      </c>
      <c r="R156" s="78">
        <v>0</v>
      </c>
      <c r="S156" s="88">
        <v>3520898.2570978333</v>
      </c>
      <c r="T156" s="1"/>
      <c r="U156" s="1"/>
      <c r="V156" s="86">
        <v>37620.557034451289</v>
      </c>
      <c r="Z156" s="38"/>
    </row>
    <row r="157" spans="1:26" s="31" customFormat="1" ht="17" x14ac:dyDescent="0.5">
      <c r="A157" s="79">
        <v>49735</v>
      </c>
      <c r="B157" s="84"/>
      <c r="C157" s="89"/>
      <c r="D157" s="89"/>
      <c r="E157" s="89"/>
      <c r="F157" s="81">
        <v>746581459.37058115</v>
      </c>
      <c r="G157" s="80">
        <v>2405164.3163309423</v>
      </c>
      <c r="H157" s="80">
        <v>765441.36928407743</v>
      </c>
      <c r="I157" s="84">
        <v>724310771.07569897</v>
      </c>
      <c r="J157" s="82">
        <v>22270688.294882178</v>
      </c>
      <c r="K157" s="82">
        <v>0</v>
      </c>
      <c r="L157" s="82">
        <v>3170605.6856150199</v>
      </c>
      <c r="M157" s="84">
        <v>-891257.25822638208</v>
      </c>
      <c r="N157" s="84">
        <v>7151547.7379173739</v>
      </c>
      <c r="O157" s="84">
        <v>6260290.4796909913</v>
      </c>
      <c r="P157" s="85">
        <v>16010397.815191187</v>
      </c>
      <c r="Q157" s="85">
        <v>124580.45461872299</v>
      </c>
      <c r="R157" s="83">
        <v>0</v>
      </c>
      <c r="S157" s="85">
        <v>3295186.140233743</v>
      </c>
      <c r="T157" s="1"/>
      <c r="U157" s="1"/>
      <c r="V157" s="86">
        <v>32932.118147621601</v>
      </c>
      <c r="Z157" s="38"/>
    </row>
    <row r="158" spans="1:26" s="31" customFormat="1" ht="17" x14ac:dyDescent="0.5">
      <c r="A158" s="5">
        <v>49766</v>
      </c>
      <c r="B158" s="29"/>
      <c r="C158" s="87"/>
      <c r="D158" s="87"/>
      <c r="E158" s="87"/>
      <c r="F158" s="74">
        <v>746581459.37058115</v>
      </c>
      <c r="G158" s="75">
        <v>2247135.8597096782</v>
      </c>
      <c r="H158" s="75">
        <v>715493.82444552355</v>
      </c>
      <c r="I158" s="29">
        <v>727273400.75985408</v>
      </c>
      <c r="J158" s="8">
        <v>19308058.610727072</v>
      </c>
      <c r="K158" s="8">
        <v>0</v>
      </c>
      <c r="L158" s="8">
        <v>2962629.6841552015</v>
      </c>
      <c r="M158" s="29">
        <v>-832795.20421602717</v>
      </c>
      <c r="N158" s="29">
        <v>6260290.4796909913</v>
      </c>
      <c r="O158" s="29">
        <v>5427495.2754749637</v>
      </c>
      <c r="P158" s="88">
        <v>13880563.335252108</v>
      </c>
      <c r="Q158" s="88">
        <v>108007.74038412209</v>
      </c>
      <c r="R158" s="78">
        <v>0</v>
      </c>
      <c r="S158" s="88">
        <v>3070637.4245393234</v>
      </c>
      <c r="T158" s="1"/>
      <c r="U158" s="1"/>
      <c r="V158" s="86">
        <v>28551.217589255655</v>
      </c>
      <c r="Z158" s="38"/>
    </row>
    <row r="159" spans="1:26" s="31" customFormat="1" ht="17" x14ac:dyDescent="0.5">
      <c r="A159" s="5">
        <v>49796</v>
      </c>
      <c r="B159" s="29"/>
      <c r="C159" s="87"/>
      <c r="D159" s="87"/>
      <c r="E159" s="87"/>
      <c r="F159" s="74">
        <v>746581459.37058115</v>
      </c>
      <c r="G159" s="75">
        <v>2089107.4030884136</v>
      </c>
      <c r="H159" s="75">
        <v>665546.27960696956</v>
      </c>
      <c r="I159" s="29">
        <v>730028054.44254947</v>
      </c>
      <c r="J159" s="8">
        <v>16553404.928031683</v>
      </c>
      <c r="K159" s="8">
        <v>0</v>
      </c>
      <c r="L159" s="8">
        <v>2754653.6826953832</v>
      </c>
      <c r="M159" s="29">
        <v>-774333.15020567225</v>
      </c>
      <c r="N159" s="29">
        <v>5427495.2754749637</v>
      </c>
      <c r="O159" s="29">
        <v>4653162.1252692919</v>
      </c>
      <c r="P159" s="88">
        <v>11900242.802762391</v>
      </c>
      <c r="Q159" s="88">
        <v>92598.427319191585</v>
      </c>
      <c r="R159" s="78">
        <v>0</v>
      </c>
      <c r="S159" s="88">
        <v>2847252.1100145746</v>
      </c>
      <c r="T159" s="1"/>
      <c r="U159" s="1"/>
      <c r="V159" s="86">
        <v>24477.855359353216</v>
      </c>
      <c r="Z159" s="38"/>
    </row>
    <row r="160" spans="1:26" s="31" customFormat="1" ht="17" x14ac:dyDescent="0.5">
      <c r="A160" s="79">
        <v>49827</v>
      </c>
      <c r="B160" s="84"/>
      <c r="C160" s="89"/>
      <c r="D160" s="89"/>
      <c r="E160" s="89"/>
      <c r="F160" s="81">
        <v>746581459.37058115</v>
      </c>
      <c r="G160" s="80">
        <v>1931078.9464671493</v>
      </c>
      <c r="H160" s="80">
        <v>615598.73476841557</v>
      </c>
      <c r="I160" s="84">
        <v>732574732.12378502</v>
      </c>
      <c r="J160" s="82">
        <v>14006727.246796131</v>
      </c>
      <c r="K160" s="82">
        <v>0</v>
      </c>
      <c r="L160" s="82">
        <v>2546677.6812355649</v>
      </c>
      <c r="M160" s="84">
        <v>-715871.09619531734</v>
      </c>
      <c r="N160" s="84">
        <v>4653162.1252692919</v>
      </c>
      <c r="O160" s="84">
        <v>3937291.0290739746</v>
      </c>
      <c r="P160" s="85">
        <v>10069436.217722157</v>
      </c>
      <c r="Q160" s="85">
        <v>78352.515423932375</v>
      </c>
      <c r="R160" s="83">
        <v>0</v>
      </c>
      <c r="S160" s="85">
        <v>2625030.1966594975</v>
      </c>
      <c r="T160" s="1"/>
      <c r="U160" s="1"/>
      <c r="V160" s="86">
        <v>20712.031457914538</v>
      </c>
      <c r="Z160" s="38"/>
    </row>
    <row r="161" spans="1:26" s="31" customFormat="1" ht="17" x14ac:dyDescent="0.5">
      <c r="A161" s="5">
        <v>49857</v>
      </c>
      <c r="B161" s="29"/>
      <c r="C161" s="87"/>
      <c r="D161" s="87"/>
      <c r="E161" s="87"/>
      <c r="F161" s="74">
        <v>746581459.37058115</v>
      </c>
      <c r="G161" s="75">
        <v>1770155.7009282201</v>
      </c>
      <c r="H161" s="75">
        <v>564298.8402043808</v>
      </c>
      <c r="I161" s="29">
        <v>734909186.66491759</v>
      </c>
      <c r="J161" s="8">
        <v>11672272.705663562</v>
      </c>
      <c r="K161" s="8">
        <v>0</v>
      </c>
      <c r="L161" s="8">
        <v>2334454.541132601</v>
      </c>
      <c r="M161" s="29">
        <v>-656215.17151237419</v>
      </c>
      <c r="N161" s="29">
        <v>3937291.0290739746</v>
      </c>
      <c r="O161" s="29">
        <v>3281075.8575616004</v>
      </c>
      <c r="P161" s="88">
        <v>8391196.8481019624</v>
      </c>
      <c r="Q161" s="88">
        <v>65293.762853278269</v>
      </c>
      <c r="R161" s="78">
        <v>0</v>
      </c>
      <c r="S161" s="88">
        <v>2399748.3039858793</v>
      </c>
      <c r="T161" s="1"/>
      <c r="U161" s="1"/>
      <c r="V161" s="86">
        <v>17260.026214929119</v>
      </c>
      <c r="Z161" s="38"/>
    </row>
    <row r="162" spans="1:26" s="31" customFormat="1" ht="17" x14ac:dyDescent="0.5">
      <c r="A162" s="5">
        <v>49888</v>
      </c>
      <c r="B162" s="29"/>
      <c r="C162" s="87"/>
      <c r="D162" s="87"/>
      <c r="E162" s="87"/>
      <c r="F162" s="74">
        <v>746581459.37058115</v>
      </c>
      <c r="G162" s="75">
        <v>1609232.455389291</v>
      </c>
      <c r="H162" s="75">
        <v>512998.94564034615</v>
      </c>
      <c r="I162" s="29">
        <v>737031418.06594718</v>
      </c>
      <c r="J162" s="8">
        <v>9550041.304633975</v>
      </c>
      <c r="K162" s="8">
        <v>0</v>
      </c>
      <c r="L162" s="8">
        <v>2122231.4010296371</v>
      </c>
      <c r="M162" s="29">
        <v>-596559.24682943104</v>
      </c>
      <c r="N162" s="29">
        <v>3281075.8575616004</v>
      </c>
      <c r="O162" s="29">
        <v>2684516.6107321694</v>
      </c>
      <c r="P162" s="88">
        <v>6865524.6939018052</v>
      </c>
      <c r="Q162" s="88">
        <v>53422.169607229225</v>
      </c>
      <c r="R162" s="78">
        <v>0</v>
      </c>
      <c r="S162" s="88">
        <v>2175653.5706368661</v>
      </c>
      <c r="T162" s="1"/>
      <c r="U162" s="1"/>
      <c r="V162" s="86">
        <v>14121.839630396964</v>
      </c>
      <c r="Z162" s="38"/>
    </row>
    <row r="163" spans="1:26" s="31" customFormat="1" ht="17" x14ac:dyDescent="0.5">
      <c r="A163" s="79">
        <v>49919</v>
      </c>
      <c r="B163" s="84"/>
      <c r="C163" s="89"/>
      <c r="D163" s="89"/>
      <c r="E163" s="89"/>
      <c r="F163" s="81">
        <v>746581459.37058115</v>
      </c>
      <c r="G163" s="80">
        <v>1448309.209850362</v>
      </c>
      <c r="H163" s="80">
        <v>461699.0510763115</v>
      </c>
      <c r="I163" s="84">
        <v>738941426.32687378</v>
      </c>
      <c r="J163" s="82">
        <v>7640033.0437073708</v>
      </c>
      <c r="K163" s="82">
        <v>0</v>
      </c>
      <c r="L163" s="82">
        <v>1910008.2609266737</v>
      </c>
      <c r="M163" s="84">
        <v>-536903.322146488</v>
      </c>
      <c r="N163" s="84">
        <v>2684516.6107321694</v>
      </c>
      <c r="O163" s="84">
        <v>2147613.2885856815</v>
      </c>
      <c r="P163" s="85">
        <v>5492419.7551216893</v>
      </c>
      <c r="Q163" s="85">
        <v>42737.735685785286</v>
      </c>
      <c r="R163" s="83">
        <v>0</v>
      </c>
      <c r="S163" s="85">
        <v>1952745.996612459</v>
      </c>
      <c r="T163" s="1"/>
      <c r="U163" s="1"/>
      <c r="V163" s="86">
        <v>11297.471704318074</v>
      </c>
      <c r="Z163" s="38"/>
    </row>
    <row r="164" spans="1:26" s="31" customFormat="1" ht="17" x14ac:dyDescent="0.5">
      <c r="A164" s="5">
        <v>49949</v>
      </c>
      <c r="B164" s="29"/>
      <c r="C164" s="87"/>
      <c r="D164" s="87"/>
      <c r="E164" s="87"/>
      <c r="F164" s="74">
        <v>746581459.37058115</v>
      </c>
      <c r="G164" s="75">
        <v>1287385.9643114328</v>
      </c>
      <c r="H164" s="75">
        <v>410399.15651227697</v>
      </c>
      <c r="I164" s="29">
        <v>740639211.44769752</v>
      </c>
      <c r="J164" s="8">
        <v>5942247.9228836298</v>
      </c>
      <c r="K164" s="8">
        <v>0</v>
      </c>
      <c r="L164" s="8">
        <v>1697785.1208237098</v>
      </c>
      <c r="M164" s="29">
        <v>-477247.39746354485</v>
      </c>
      <c r="N164" s="29">
        <v>2147613.2885856815</v>
      </c>
      <c r="O164" s="29">
        <v>1670365.8911221367</v>
      </c>
      <c r="P164" s="88">
        <v>4271882.0317614935</v>
      </c>
      <c r="Q164" s="88">
        <v>33240.461088945514</v>
      </c>
      <c r="R164" s="78">
        <v>0</v>
      </c>
      <c r="S164" s="88">
        <v>1731025.5819126554</v>
      </c>
      <c r="T164" s="1"/>
      <c r="U164" s="1"/>
      <c r="V164" s="86">
        <v>8786.9224366922044</v>
      </c>
      <c r="Z164" s="38"/>
    </row>
    <row r="165" spans="1:26" s="31" customFormat="1" ht="17" x14ac:dyDescent="0.5">
      <c r="A165" s="5">
        <v>49980</v>
      </c>
      <c r="B165" s="29"/>
      <c r="C165" s="87"/>
      <c r="D165" s="87"/>
      <c r="E165" s="87"/>
      <c r="F165" s="74">
        <v>746581459.37058115</v>
      </c>
      <c r="G165" s="75">
        <v>1126462.7187725038</v>
      </c>
      <c r="H165" s="75">
        <v>359099.26194824238</v>
      </c>
      <c r="I165" s="29">
        <v>742124773.42841828</v>
      </c>
      <c r="J165" s="8">
        <v>4456685.9421628714</v>
      </c>
      <c r="K165" s="8">
        <v>0</v>
      </c>
      <c r="L165" s="8">
        <v>1485561.9807207461</v>
      </c>
      <c r="M165" s="29">
        <v>-417591.47278060176</v>
      </c>
      <c r="N165" s="29">
        <v>1670365.8911221367</v>
      </c>
      <c r="O165" s="29">
        <v>1252774.4183415349</v>
      </c>
      <c r="P165" s="88">
        <v>3203911.5238213362</v>
      </c>
      <c r="Q165" s="88">
        <v>24930.345816710815</v>
      </c>
      <c r="R165" s="78">
        <v>0</v>
      </c>
      <c r="S165" s="88">
        <v>1510492.3265374568</v>
      </c>
      <c r="T165" s="1"/>
      <c r="U165" s="1"/>
      <c r="V165" s="86">
        <v>6590.1918275195994</v>
      </c>
      <c r="Z165" s="38"/>
    </row>
    <row r="166" spans="1:26" s="31" customFormat="1" ht="17" x14ac:dyDescent="0.5">
      <c r="A166" s="79">
        <v>50010</v>
      </c>
      <c r="B166" s="84"/>
      <c r="C166" s="89"/>
      <c r="D166" s="89"/>
      <c r="E166" s="89"/>
      <c r="F166" s="81">
        <v>746581459.37058115</v>
      </c>
      <c r="G166" s="80">
        <v>965539.47323357465</v>
      </c>
      <c r="H166" s="80">
        <v>307799.36738420778</v>
      </c>
      <c r="I166" s="84">
        <v>743398112.26903605</v>
      </c>
      <c r="J166" s="82">
        <v>3183347.1015450954</v>
      </c>
      <c r="K166" s="82">
        <v>0</v>
      </c>
      <c r="L166" s="82">
        <v>1273338.8406177824</v>
      </c>
      <c r="M166" s="84">
        <v>-357935.54809765867</v>
      </c>
      <c r="N166" s="84">
        <v>1252774.4183415349</v>
      </c>
      <c r="O166" s="84">
        <v>894838.87024387624</v>
      </c>
      <c r="P166" s="85">
        <v>2288508.2313012192</v>
      </c>
      <c r="Q166" s="85">
        <v>17807.389869081213</v>
      </c>
      <c r="R166" s="83">
        <v>0</v>
      </c>
      <c r="S166" s="85">
        <v>1291146.2304868638</v>
      </c>
      <c r="T166" s="1"/>
      <c r="U166" s="1"/>
      <c r="V166" s="86">
        <v>4707.2798768002576</v>
      </c>
      <c r="Z166" s="38"/>
    </row>
    <row r="167" spans="1:26" s="31" customFormat="1" ht="17" x14ac:dyDescent="0.5">
      <c r="A167" s="5">
        <v>50041</v>
      </c>
      <c r="B167" s="29"/>
      <c r="C167" s="87"/>
      <c r="D167" s="87"/>
      <c r="E167" s="87"/>
      <c r="F167" s="74">
        <v>746581459.37058115</v>
      </c>
      <c r="G167" s="75">
        <v>804616.22769464552</v>
      </c>
      <c r="H167" s="75">
        <v>256499.47282017316</v>
      </c>
      <c r="I167" s="29">
        <v>744459227.96955085</v>
      </c>
      <c r="J167" s="8">
        <v>2122231.401030302</v>
      </c>
      <c r="K167" s="8">
        <v>0</v>
      </c>
      <c r="L167" s="8">
        <v>1061115.7005148188</v>
      </c>
      <c r="M167" s="29">
        <v>-298279.62341471558</v>
      </c>
      <c r="N167" s="29">
        <v>894838.87024387624</v>
      </c>
      <c r="O167" s="29">
        <v>596559.24682916072</v>
      </c>
      <c r="P167" s="88">
        <v>1525672.1542011413</v>
      </c>
      <c r="Q167" s="88">
        <v>11871.593246056698</v>
      </c>
      <c r="R167" s="78">
        <v>0</v>
      </c>
      <c r="S167" s="88">
        <v>1072987.2937608755</v>
      </c>
      <c r="T167" s="1"/>
      <c r="U167" s="1"/>
      <c r="V167" s="86">
        <v>3138.1865845341813</v>
      </c>
      <c r="Z167" s="38"/>
    </row>
    <row r="168" spans="1:26" s="31" customFormat="1" ht="17" x14ac:dyDescent="0.5">
      <c r="A168" s="5">
        <v>50072</v>
      </c>
      <c r="B168" s="29"/>
      <c r="C168" s="87"/>
      <c r="D168" s="87"/>
      <c r="E168" s="87"/>
      <c r="F168" s="74">
        <v>746581459.37058115</v>
      </c>
      <c r="G168" s="75">
        <v>643692.9821557164</v>
      </c>
      <c r="H168" s="75">
        <v>205199.57825613851</v>
      </c>
      <c r="I168" s="29">
        <v>745308120.52996266</v>
      </c>
      <c r="J168" s="8">
        <v>1273338.8406184912</v>
      </c>
      <c r="K168" s="8">
        <v>0</v>
      </c>
      <c r="L168" s="8">
        <v>848892.56041185488</v>
      </c>
      <c r="M168" s="29">
        <v>-238623.69873177243</v>
      </c>
      <c r="N168" s="29">
        <v>596559.24682916072</v>
      </c>
      <c r="O168" s="29">
        <v>357935.54809738829</v>
      </c>
      <c r="P168" s="88">
        <v>915403.29252110282</v>
      </c>
      <c r="Q168" s="88">
        <v>7122.9559476372715</v>
      </c>
      <c r="R168" s="78">
        <v>0</v>
      </c>
      <c r="S168" s="88">
        <v>856015.51635949221</v>
      </c>
      <c r="T168" s="1"/>
      <c r="U168" s="1"/>
      <c r="V168" s="86">
        <v>1882.9119507213684</v>
      </c>
      <c r="Z168" s="38"/>
    </row>
    <row r="169" spans="1:26" s="31" customFormat="1" ht="17" x14ac:dyDescent="0.5">
      <c r="A169" s="79">
        <v>50100</v>
      </c>
      <c r="B169" s="84"/>
      <c r="C169" s="89"/>
      <c r="D169" s="89"/>
      <c r="E169" s="89"/>
      <c r="F169" s="81">
        <v>746581459.37058115</v>
      </c>
      <c r="G169" s="80">
        <v>482769.73661678733</v>
      </c>
      <c r="H169" s="80">
        <v>153899.68369210389</v>
      </c>
      <c r="I169" s="84">
        <v>745944789.95027149</v>
      </c>
      <c r="J169" s="82">
        <v>636669.42030966282</v>
      </c>
      <c r="K169" s="82">
        <v>0</v>
      </c>
      <c r="L169" s="82">
        <v>636669.42030889122</v>
      </c>
      <c r="M169" s="84">
        <v>-178967.77404882933</v>
      </c>
      <c r="N169" s="84">
        <v>357935.54809738829</v>
      </c>
      <c r="O169" s="84">
        <v>178967.77404855896</v>
      </c>
      <c r="P169" s="85">
        <v>457701.64626110386</v>
      </c>
      <c r="Q169" s="85">
        <v>3561.4779738229345</v>
      </c>
      <c r="R169" s="83">
        <v>0</v>
      </c>
      <c r="S169" s="85">
        <v>640230.89828271419</v>
      </c>
      <c r="T169" s="1"/>
      <c r="U169" s="1"/>
      <c r="V169" s="86">
        <v>941.45597536182049</v>
      </c>
      <c r="Z169" s="38"/>
    </row>
    <row r="170" spans="1:26" s="31" customFormat="1" ht="17" x14ac:dyDescent="0.5">
      <c r="A170" s="5">
        <v>50131</v>
      </c>
      <c r="B170" s="29"/>
      <c r="C170" s="87"/>
      <c r="D170" s="87"/>
      <c r="E170" s="87"/>
      <c r="F170" s="74">
        <v>746581459.37058115</v>
      </c>
      <c r="G170" s="75">
        <v>321846.4910778582</v>
      </c>
      <c r="H170" s="75">
        <v>102599.78912806926</v>
      </c>
      <c r="I170" s="29">
        <v>746369236.23047745</v>
      </c>
      <c r="J170" s="8">
        <v>212223.14010369778</v>
      </c>
      <c r="K170" s="8">
        <v>0</v>
      </c>
      <c r="L170" s="8">
        <v>424446.28020592744</v>
      </c>
      <c r="M170" s="29">
        <v>-119311.84936588621</v>
      </c>
      <c r="N170" s="29">
        <v>178967.77404855896</v>
      </c>
      <c r="O170" s="29">
        <v>59655.924682672747</v>
      </c>
      <c r="P170" s="88">
        <v>152567.21542102503</v>
      </c>
      <c r="Q170" s="88">
        <v>1187.1593246127577</v>
      </c>
      <c r="R170" s="78">
        <v>0</v>
      </c>
      <c r="S170" s="88">
        <v>425633.4395305402</v>
      </c>
      <c r="T170" s="1"/>
      <c r="U170" s="1"/>
      <c r="V170" s="86">
        <v>313.81865845529177</v>
      </c>
      <c r="Z170" s="38"/>
    </row>
    <row r="171" spans="1:26" s="31" customFormat="1" ht="17" x14ac:dyDescent="0.5">
      <c r="A171" s="5">
        <v>50161</v>
      </c>
      <c r="B171" s="29"/>
      <c r="C171" s="87"/>
      <c r="D171" s="87"/>
      <c r="E171" s="87"/>
      <c r="F171" s="74">
        <v>746581459.37058115</v>
      </c>
      <c r="G171" s="75">
        <v>160923.2455389291</v>
      </c>
      <c r="H171" s="75">
        <v>51299.894564034628</v>
      </c>
      <c r="I171" s="29">
        <v>746581459.37058043</v>
      </c>
      <c r="J171" s="8">
        <v>7.152557373046875E-7</v>
      </c>
      <c r="K171" s="8">
        <v>0</v>
      </c>
      <c r="L171" s="8">
        <v>212223.14010296372</v>
      </c>
      <c r="M171" s="29">
        <v>-59655.924682943107</v>
      </c>
      <c r="N171" s="29">
        <v>59655.924682672747</v>
      </c>
      <c r="O171" s="29">
        <v>-2.7036003302782774E-7</v>
      </c>
      <c r="P171" s="88">
        <v>9.8561577033251524E-7</v>
      </c>
      <c r="Q171" s="88">
        <v>7.6692948023378858E-9</v>
      </c>
      <c r="R171" s="78">
        <v>0</v>
      </c>
      <c r="S171" s="88">
        <v>212223.1401029714</v>
      </c>
      <c r="T171" s="1"/>
      <c r="U171" s="1"/>
      <c r="V171" s="86">
        <v>2.0273334473895377E-9</v>
      </c>
      <c r="Z171" s="38"/>
    </row>
    <row r="172" spans="1:26" s="31" customFormat="1" ht="17" x14ac:dyDescent="0.5">
      <c r="A172" s="5"/>
      <c r="B172" s="87"/>
      <c r="C172" s="87"/>
      <c r="D172" s="87"/>
      <c r="E172" s="87"/>
      <c r="F172" s="87"/>
      <c r="G172" s="87"/>
      <c r="H172" s="87"/>
      <c r="I172" s="75"/>
      <c r="J172" s="75"/>
      <c r="K172" s="87"/>
      <c r="L172" s="87"/>
      <c r="M172" s="87"/>
      <c r="N172" s="75"/>
      <c r="O172" s="75"/>
      <c r="P172" s="78"/>
      <c r="Q172" s="90"/>
      <c r="R172" s="90"/>
      <c r="S172" s="90"/>
      <c r="T172" s="1"/>
      <c r="U172" s="1"/>
      <c r="V172" s="90"/>
    </row>
    <row r="173" spans="1:26" s="31" customFormat="1" ht="15.5" x14ac:dyDescent="0.35">
      <c r="A173" s="53" t="s">
        <v>149</v>
      </c>
      <c r="B173" s="74">
        <v>563511499.12043571</v>
      </c>
      <c r="C173" s="74">
        <v>183069960.25014535</v>
      </c>
      <c r="D173" s="74">
        <v>746581459.37058115</v>
      </c>
      <c r="E173" s="74">
        <v>5388984579.2242088</v>
      </c>
      <c r="F173" s="74"/>
      <c r="G173" s="74">
        <v>563511499.12043631</v>
      </c>
      <c r="H173" s="74">
        <v>183069960.25014526</v>
      </c>
      <c r="I173" s="12"/>
      <c r="J173" s="74"/>
      <c r="K173" s="74">
        <v>6135566038.5947876</v>
      </c>
      <c r="L173" s="74">
        <v>6135566038.594799</v>
      </c>
      <c r="M173" s="74">
        <v>-2.7036003302782774E-7</v>
      </c>
      <c r="N173" s="74"/>
      <c r="O173" s="74"/>
      <c r="P173" s="74"/>
      <c r="Q173" s="74">
        <v>290423754.47834718</v>
      </c>
      <c r="R173" s="74">
        <v>40884282.888415247</v>
      </c>
      <c r="S173" s="74">
        <v>1077889496.7373433</v>
      </c>
      <c r="T173" s="1"/>
      <c r="U173" s="1"/>
      <c r="V173" s="74">
        <v>76771829.293994114</v>
      </c>
    </row>
    <row r="174" spans="1:26" s="31" customFormat="1" ht="15.5" x14ac:dyDescent="0.35">
      <c r="A174"/>
      <c r="B174"/>
      <c r="C174"/>
      <c r="D174"/>
      <c r="E174"/>
      <c r="F174"/>
      <c r="G174"/>
      <c r="H174"/>
      <c r="I174"/>
      <c r="J174" s="2"/>
      <c r="K174" s="8"/>
      <c r="L174"/>
      <c r="M174"/>
      <c r="N174"/>
      <c r="O174" s="1"/>
      <c r="P174" s="1"/>
      <c r="Q174" s="1"/>
      <c r="R174" s="1"/>
      <c r="S174" s="1"/>
      <c r="T174" s="1"/>
      <c r="U174" s="2"/>
      <c r="V174" s="2"/>
    </row>
    <row r="175" spans="1:26" s="31" customFormat="1" ht="15.5" x14ac:dyDescent="0.35">
      <c r="A175"/>
      <c r="B175"/>
      <c r="C175"/>
      <c r="D175"/>
      <c r="E175"/>
      <c r="F175"/>
      <c r="G175"/>
      <c r="H175"/>
      <c r="I175"/>
      <c r="J175" s="2"/>
      <c r="K175" s="8"/>
      <c r="L175"/>
      <c r="M175"/>
      <c r="N175"/>
      <c r="O175" s="1"/>
      <c r="P175" s="1"/>
      <c r="Q175" s="1"/>
      <c r="R175" s="1"/>
      <c r="S175" s="1"/>
      <c r="T175" s="1"/>
      <c r="U175" s="2"/>
      <c r="V175" s="2"/>
    </row>
    <row r="176" spans="1:26" s="31" customFormat="1" ht="15.5" x14ac:dyDescent="0.35">
      <c r="A176"/>
      <c r="B176"/>
      <c r="C176"/>
      <c r="D176">
        <v>2024</v>
      </c>
      <c r="E176" s="8">
        <v>0</v>
      </c>
      <c r="F176" s="91"/>
      <c r="G176" s="8">
        <v>0</v>
      </c>
      <c r="H176"/>
      <c r="I176"/>
      <c r="J176" s="2"/>
      <c r="K176" s="8"/>
      <c r="L176"/>
      <c r="M176"/>
      <c r="N176"/>
      <c r="O176" s="1"/>
      <c r="P176" s="1"/>
      <c r="Q176" s="1"/>
      <c r="R176" s="1"/>
      <c r="S176" s="1"/>
      <c r="T176" s="1"/>
      <c r="U176" s="2"/>
      <c r="V176" s="2"/>
    </row>
    <row r="177" spans="1:22" s="31" customFormat="1" ht="15.5" x14ac:dyDescent="0.35">
      <c r="A177"/>
      <c r="B177"/>
      <c r="C177"/>
      <c r="D177">
        <v>2025</v>
      </c>
      <c r="E177" s="8">
        <v>201141472.45826381</v>
      </c>
      <c r="F177" s="91">
        <v>201141472.45826381</v>
      </c>
      <c r="G177" s="8">
        <v>0</v>
      </c>
      <c r="H177"/>
      <c r="I177"/>
      <c r="J177" s="2"/>
      <c r="K177" s="8"/>
      <c r="L177"/>
      <c r="M177"/>
      <c r="N177"/>
      <c r="O177" s="1"/>
      <c r="P177" s="1"/>
      <c r="Q177" s="1"/>
      <c r="R177" s="77"/>
      <c r="S177" s="1"/>
      <c r="T177" s="1"/>
      <c r="U177" s="2"/>
      <c r="V177" s="2"/>
    </row>
    <row r="178" spans="1:22" s="31" customFormat="1" ht="15.5" x14ac:dyDescent="0.35">
      <c r="A178"/>
      <c r="B178"/>
      <c r="C178"/>
      <c r="D178">
        <v>2026</v>
      </c>
      <c r="E178" s="12">
        <v>752515406.08811855</v>
      </c>
      <c r="F178" s="91">
        <v>752515406.08811855</v>
      </c>
      <c r="G178" s="8">
        <v>0</v>
      </c>
      <c r="H178"/>
      <c r="I178"/>
      <c r="J178" s="2"/>
      <c r="K178" s="8"/>
      <c r="L178"/>
      <c r="M178"/>
      <c r="N178"/>
      <c r="O178" s="1"/>
      <c r="P178" s="1"/>
      <c r="Q178" s="1"/>
      <c r="R178" s="1"/>
      <c r="S178" s="1"/>
      <c r="T178" s="1"/>
      <c r="U178" s="2"/>
      <c r="V178" s="2"/>
    </row>
    <row r="179" spans="1:22" s="31" customFormat="1" ht="15.5" x14ac:dyDescent="0.35">
      <c r="A179"/>
      <c r="B179"/>
      <c r="C179"/>
      <c r="D179">
        <v>2027</v>
      </c>
      <c r="E179" s="12">
        <v>1364365131.1498666</v>
      </c>
      <c r="F179" s="91">
        <v>1364365131.1498666</v>
      </c>
      <c r="G179" s="8">
        <v>0</v>
      </c>
      <c r="H179"/>
      <c r="I179"/>
      <c r="J179" s="2"/>
      <c r="K179" s="8"/>
      <c r="L179"/>
      <c r="M179"/>
      <c r="N179"/>
      <c r="O179" s="1"/>
      <c r="P179" s="1"/>
      <c r="Q179" s="1"/>
      <c r="R179" s="1"/>
      <c r="S179" s="1"/>
      <c r="T179" s="1"/>
      <c r="U179" s="2"/>
      <c r="V179" s="2"/>
    </row>
    <row r="180" spans="1:22" s="31" customFormat="1" ht="15.5" x14ac:dyDescent="0.35">
      <c r="A180"/>
      <c r="B180"/>
      <c r="C180"/>
      <c r="D180">
        <v>2028</v>
      </c>
      <c r="E180" s="12">
        <v>1366496006.9286261</v>
      </c>
      <c r="F180" s="91">
        <v>1366496006.9286261</v>
      </c>
      <c r="G180" s="8">
        <v>0</v>
      </c>
      <c r="H180"/>
      <c r="I180"/>
      <c r="J180" s="2"/>
      <c r="K180" s="8"/>
      <c r="L180"/>
      <c r="M180"/>
      <c r="N180"/>
      <c r="O180" s="1"/>
      <c r="P180" s="1"/>
      <c r="Q180" s="1"/>
      <c r="R180" s="1"/>
      <c r="S180" s="1"/>
      <c r="T180" s="1"/>
      <c r="U180" s="2"/>
      <c r="V180" s="2"/>
    </row>
    <row r="181" spans="1:22" s="31" customFormat="1" ht="15.5" x14ac:dyDescent="0.35">
      <c r="D181">
        <v>2029</v>
      </c>
      <c r="E181" s="36">
        <v>942444761.35032761</v>
      </c>
      <c r="F181" s="92">
        <v>942444761.35032761</v>
      </c>
      <c r="G181" s="8">
        <v>0</v>
      </c>
      <c r="J181" s="20"/>
      <c r="K181" s="38"/>
      <c r="O181" s="37"/>
      <c r="P181" s="37"/>
      <c r="Q181" s="37"/>
      <c r="R181" s="37"/>
      <c r="S181" s="37"/>
      <c r="T181" s="37"/>
      <c r="U181" s="20"/>
      <c r="V181" s="20"/>
    </row>
    <row r="182" spans="1:22" s="31" customFormat="1" ht="15.5" x14ac:dyDescent="0.35">
      <c r="D182">
        <v>2030</v>
      </c>
      <c r="E182" s="36">
        <v>531485564.27522945</v>
      </c>
      <c r="F182" s="92">
        <v>531485564.27522945</v>
      </c>
      <c r="G182" s="8">
        <v>0</v>
      </c>
      <c r="J182" s="20"/>
      <c r="K182" s="38"/>
      <c r="O182" s="37"/>
      <c r="P182" s="37"/>
      <c r="Q182" s="37"/>
      <c r="R182" s="37"/>
      <c r="S182" s="37"/>
      <c r="T182" s="37"/>
      <c r="U182" s="20"/>
      <c r="V182" s="20"/>
    </row>
    <row r="183" spans="1:22" s="31" customFormat="1" ht="15.5" x14ac:dyDescent="0.35">
      <c r="D183">
        <v>2031</v>
      </c>
      <c r="E183" s="36">
        <v>201829669.21397594</v>
      </c>
      <c r="F183" s="92">
        <v>201829669.21397594</v>
      </c>
      <c r="G183" s="8">
        <v>0</v>
      </c>
      <c r="J183" s="20"/>
      <c r="K183" s="38"/>
      <c r="O183" s="37"/>
      <c r="P183" s="37"/>
      <c r="Q183" s="37"/>
      <c r="R183" s="37"/>
      <c r="S183" s="37"/>
      <c r="T183" s="37"/>
      <c r="U183" s="20"/>
      <c r="V183" s="20"/>
    </row>
    <row r="184" spans="1:22" s="31" customFormat="1" ht="15.5" x14ac:dyDescent="0.35">
      <c r="D184">
        <v>2032</v>
      </c>
      <c r="E184" s="36">
        <v>28706567.759801544</v>
      </c>
      <c r="F184" s="92">
        <v>28706567.759801544</v>
      </c>
      <c r="G184" s="8">
        <v>0</v>
      </c>
      <c r="J184" s="20"/>
      <c r="K184" s="38"/>
      <c r="O184" s="37"/>
      <c r="P184" s="37"/>
      <c r="Q184" s="37"/>
      <c r="R184" s="37"/>
      <c r="S184" s="37"/>
      <c r="T184" s="37"/>
      <c r="U184" s="20"/>
      <c r="V184" s="20"/>
    </row>
    <row r="185" spans="1:22" s="31" customFormat="1" ht="15.5" x14ac:dyDescent="0.35">
      <c r="J185" s="20"/>
      <c r="K185" s="38"/>
      <c r="O185" s="37"/>
      <c r="P185" s="37"/>
      <c r="Q185" s="37"/>
      <c r="R185" s="37"/>
      <c r="S185" s="37"/>
      <c r="T185" s="37"/>
      <c r="U185" s="20"/>
      <c r="V185" s="20"/>
    </row>
    <row r="186" spans="1:22" s="31" customFormat="1" ht="15.5" x14ac:dyDescent="0.35">
      <c r="J186" s="20"/>
      <c r="K186" s="38"/>
      <c r="O186" s="37"/>
      <c r="P186" s="37"/>
      <c r="Q186" s="37"/>
      <c r="R186" s="37"/>
      <c r="S186" s="37"/>
      <c r="T186" s="37"/>
      <c r="U186" s="20"/>
      <c r="V186" s="20"/>
    </row>
    <row r="187" spans="1:22" s="31" customFormat="1" ht="15.5" x14ac:dyDescent="0.35">
      <c r="J187" s="20"/>
      <c r="K187" s="38"/>
      <c r="O187" s="37"/>
      <c r="P187" s="37"/>
      <c r="Q187" s="37"/>
      <c r="R187" s="37"/>
      <c r="S187" s="37"/>
      <c r="T187" s="37"/>
      <c r="U187" s="20"/>
      <c r="V187" s="20"/>
    </row>
    <row r="188" spans="1:22" s="31" customFormat="1" ht="15.5" x14ac:dyDescent="0.35">
      <c r="J188" s="20"/>
      <c r="K188" s="38"/>
      <c r="O188" s="37"/>
      <c r="P188" s="37"/>
      <c r="Q188" s="37"/>
      <c r="R188" s="37"/>
      <c r="S188" s="37"/>
      <c r="T188" s="37"/>
      <c r="U188" s="20"/>
      <c r="V188" s="20"/>
    </row>
    <row r="189" spans="1:22" s="31" customFormat="1" ht="15.5" x14ac:dyDescent="0.35">
      <c r="J189" s="20"/>
      <c r="K189" s="38"/>
      <c r="O189" s="37"/>
      <c r="P189" s="37"/>
      <c r="Q189" s="37"/>
      <c r="R189" s="37"/>
      <c r="S189" s="37"/>
      <c r="T189" s="37"/>
      <c r="U189" s="20"/>
      <c r="V189" s="20"/>
    </row>
    <row r="190" spans="1:22" s="31" customFormat="1" ht="15.5" x14ac:dyDescent="0.35">
      <c r="J190" s="20"/>
      <c r="K190" s="38"/>
      <c r="O190" s="37"/>
      <c r="P190" s="37"/>
      <c r="Q190" s="37"/>
      <c r="R190" s="37"/>
      <c r="S190" s="37"/>
      <c r="T190" s="37"/>
      <c r="U190" s="20"/>
      <c r="V190" s="20"/>
    </row>
    <row r="191" spans="1:22" s="31" customFormat="1" ht="15.5" x14ac:dyDescent="0.35">
      <c r="J191" s="20"/>
      <c r="K191" s="38"/>
      <c r="O191" s="37"/>
      <c r="P191" s="37"/>
      <c r="Q191" s="37"/>
      <c r="R191" s="37"/>
      <c r="S191" s="37"/>
      <c r="T191" s="37"/>
      <c r="U191" s="20"/>
      <c r="V191" s="20"/>
    </row>
    <row r="192" spans="1:22" s="31" customFormat="1" ht="15.5" x14ac:dyDescent="0.35">
      <c r="J192" s="20"/>
      <c r="K192" s="38"/>
      <c r="O192" s="37"/>
      <c r="P192" s="37"/>
      <c r="Q192" s="37"/>
      <c r="R192" s="37"/>
      <c r="S192" s="37"/>
      <c r="T192" s="37"/>
      <c r="U192" s="20"/>
      <c r="V192" s="20"/>
    </row>
    <row r="193" spans="10:22" s="31" customFormat="1" ht="15.5" x14ac:dyDescent="0.35">
      <c r="J193" s="20"/>
      <c r="K193" s="38"/>
      <c r="O193" s="37"/>
      <c r="P193" s="37"/>
      <c r="Q193" s="37"/>
      <c r="R193" s="37"/>
      <c r="S193" s="37"/>
      <c r="T193" s="37"/>
      <c r="U193" s="20"/>
      <c r="V193" s="20"/>
    </row>
    <row r="194" spans="10:22" s="31" customFormat="1" ht="15.5" x14ac:dyDescent="0.35">
      <c r="J194" s="20"/>
      <c r="K194" s="38"/>
      <c r="O194" s="37"/>
      <c r="P194" s="37"/>
      <c r="Q194" s="37"/>
      <c r="R194" s="37"/>
      <c r="S194" s="37"/>
      <c r="T194" s="37"/>
      <c r="U194" s="20"/>
      <c r="V194" s="20"/>
    </row>
    <row r="195" spans="10:22" s="31" customFormat="1" ht="15.5" x14ac:dyDescent="0.35">
      <c r="J195" s="20"/>
      <c r="K195" s="38"/>
      <c r="O195" s="37"/>
      <c r="P195" s="37"/>
      <c r="Q195" s="37"/>
      <c r="R195" s="37"/>
      <c r="S195" s="37"/>
      <c r="T195" s="37"/>
      <c r="U195" s="20"/>
      <c r="V195" s="20"/>
    </row>
    <row r="196" spans="10:22" s="31" customFormat="1" ht="15.5" x14ac:dyDescent="0.35">
      <c r="J196" s="20"/>
      <c r="K196" s="38"/>
      <c r="O196" s="37"/>
      <c r="P196" s="37"/>
      <c r="Q196" s="37"/>
      <c r="R196" s="37"/>
      <c r="S196" s="37"/>
      <c r="T196" s="37"/>
      <c r="U196" s="20"/>
      <c r="V196" s="20"/>
    </row>
    <row r="197" spans="10:22" s="31" customFormat="1" ht="15.5" x14ac:dyDescent="0.35">
      <c r="J197" s="20"/>
      <c r="K197" s="38"/>
      <c r="O197" s="37"/>
      <c r="P197" s="37"/>
      <c r="Q197" s="37"/>
      <c r="R197" s="37"/>
      <c r="S197" s="37"/>
      <c r="T197" s="37"/>
      <c r="U197" s="20"/>
      <c r="V197" s="20"/>
    </row>
    <row r="198" spans="10:22" s="31" customFormat="1" ht="15.5" x14ac:dyDescent="0.35">
      <c r="J198" s="20"/>
      <c r="K198" s="38"/>
      <c r="O198" s="37"/>
      <c r="P198" s="37"/>
      <c r="Q198" s="37"/>
      <c r="R198" s="37"/>
      <c r="S198" s="37"/>
      <c r="T198" s="37"/>
      <c r="U198" s="20"/>
      <c r="V198" s="20"/>
    </row>
    <row r="199" spans="10:22" s="31" customFormat="1" ht="15.5" x14ac:dyDescent="0.35">
      <c r="J199" s="20"/>
      <c r="K199" s="38"/>
      <c r="O199" s="37"/>
      <c r="P199" s="37"/>
      <c r="Q199" s="37"/>
      <c r="R199" s="37"/>
      <c r="S199" s="37"/>
      <c r="T199" s="37"/>
      <c r="U199" s="20"/>
      <c r="V199" s="20"/>
    </row>
    <row r="200" spans="10:22" s="31" customFormat="1" ht="15.5" x14ac:dyDescent="0.35">
      <c r="J200" s="20"/>
      <c r="K200" s="38"/>
      <c r="O200" s="37"/>
      <c r="P200" s="37"/>
      <c r="Q200" s="37"/>
      <c r="R200" s="37"/>
      <c r="S200" s="37"/>
      <c r="T200" s="37"/>
      <c r="U200" s="20"/>
      <c r="V200" s="20"/>
    </row>
    <row r="201" spans="10:22" s="31" customFormat="1" ht="15.5" x14ac:dyDescent="0.35">
      <c r="J201" s="20"/>
      <c r="K201" s="38"/>
      <c r="O201" s="37"/>
      <c r="P201" s="37"/>
      <c r="Q201" s="37"/>
      <c r="R201" s="37"/>
      <c r="S201" s="37"/>
      <c r="T201" s="37"/>
      <c r="U201" s="20"/>
      <c r="V201" s="20"/>
    </row>
    <row r="202" spans="10:22" s="31" customFormat="1" ht="15.5" x14ac:dyDescent="0.35">
      <c r="J202" s="20"/>
      <c r="K202" s="38"/>
      <c r="O202" s="37"/>
      <c r="P202" s="37"/>
      <c r="Q202" s="37"/>
      <c r="R202" s="37"/>
      <c r="S202" s="37"/>
      <c r="T202" s="37"/>
      <c r="U202" s="20"/>
      <c r="V202" s="20"/>
    </row>
    <row r="203" spans="10:22" s="31" customFormat="1" ht="15.5" x14ac:dyDescent="0.35">
      <c r="J203" s="20"/>
      <c r="K203" s="38"/>
      <c r="O203" s="37"/>
      <c r="P203" s="37"/>
      <c r="Q203" s="37"/>
      <c r="R203" s="37"/>
      <c r="S203" s="37"/>
      <c r="T203" s="37"/>
      <c r="U203" s="20"/>
      <c r="V203" s="20"/>
    </row>
    <row r="204" spans="10:22" s="31" customFormat="1" ht="15.5" x14ac:dyDescent="0.35">
      <c r="J204" s="20"/>
      <c r="K204" s="38"/>
      <c r="O204" s="37"/>
      <c r="P204" s="37"/>
      <c r="Q204" s="37"/>
      <c r="R204" s="37"/>
      <c r="S204" s="37"/>
      <c r="T204" s="37"/>
      <c r="U204" s="20"/>
      <c r="V204" s="20"/>
    </row>
    <row r="205" spans="10:22" s="31" customFormat="1" ht="15.5" x14ac:dyDescent="0.35">
      <c r="J205" s="20"/>
      <c r="K205" s="38"/>
      <c r="O205" s="37"/>
      <c r="P205" s="37"/>
      <c r="Q205" s="37"/>
      <c r="R205" s="37"/>
      <c r="S205" s="37"/>
      <c r="T205" s="37"/>
      <c r="U205" s="20"/>
      <c r="V205" s="20"/>
    </row>
    <row r="206" spans="10:22" s="31" customFormat="1" ht="15.5" x14ac:dyDescent="0.35">
      <c r="J206" s="20"/>
      <c r="K206" s="38"/>
      <c r="O206" s="37"/>
      <c r="P206" s="37"/>
      <c r="Q206" s="37"/>
      <c r="R206" s="37"/>
      <c r="S206" s="37"/>
      <c r="T206" s="37"/>
      <c r="U206" s="20"/>
      <c r="V206" s="20"/>
    </row>
    <row r="207" spans="10:22" s="31" customFormat="1" ht="15.5" x14ac:dyDescent="0.35">
      <c r="J207" s="20"/>
      <c r="K207" s="38"/>
      <c r="O207" s="37"/>
      <c r="P207" s="37"/>
      <c r="Q207" s="37"/>
      <c r="R207" s="37"/>
      <c r="S207" s="37"/>
      <c r="T207" s="37"/>
      <c r="U207" s="20"/>
      <c r="V207" s="20"/>
    </row>
    <row r="208" spans="10:22" s="31" customFormat="1" ht="15.5" x14ac:dyDescent="0.35">
      <c r="J208" s="20"/>
      <c r="K208" s="38"/>
      <c r="O208" s="37"/>
      <c r="P208" s="37"/>
      <c r="Q208" s="37"/>
      <c r="R208" s="37"/>
      <c r="S208" s="37"/>
      <c r="T208" s="37"/>
      <c r="U208" s="20"/>
      <c r="V208" s="20"/>
    </row>
    <row r="209" spans="10:22" s="31" customFormat="1" ht="15.5" x14ac:dyDescent="0.35">
      <c r="J209" s="20"/>
      <c r="K209" s="38"/>
      <c r="O209" s="37"/>
      <c r="P209" s="37"/>
      <c r="Q209" s="37"/>
      <c r="R209" s="37"/>
      <c r="S209" s="37"/>
      <c r="T209" s="37"/>
      <c r="U209" s="20"/>
      <c r="V209" s="20"/>
    </row>
    <row r="210" spans="10:22" s="31" customFormat="1" ht="15.5" x14ac:dyDescent="0.35">
      <c r="J210" s="20"/>
      <c r="K210" s="38"/>
      <c r="O210" s="37"/>
      <c r="P210" s="37"/>
      <c r="Q210" s="37"/>
      <c r="R210" s="37"/>
      <c r="S210" s="37"/>
      <c r="T210" s="37"/>
      <c r="U210" s="20"/>
      <c r="V210" s="20"/>
    </row>
    <row r="211" spans="10:22" s="31" customFormat="1" ht="15.5" x14ac:dyDescent="0.35">
      <c r="J211" s="20"/>
      <c r="K211" s="38"/>
      <c r="O211" s="37"/>
      <c r="P211" s="37"/>
      <c r="Q211" s="37"/>
      <c r="R211" s="37"/>
      <c r="S211" s="37"/>
      <c r="T211" s="37"/>
      <c r="U211" s="20"/>
      <c r="V211" s="20"/>
    </row>
    <row r="212" spans="10:22" s="31" customFormat="1" ht="15.5" x14ac:dyDescent="0.35">
      <c r="J212" s="20"/>
      <c r="K212" s="38"/>
      <c r="O212" s="37"/>
      <c r="P212" s="37"/>
      <c r="Q212" s="37"/>
      <c r="R212" s="37"/>
      <c r="S212" s="37"/>
      <c r="T212" s="37"/>
      <c r="U212" s="20"/>
      <c r="V212" s="20"/>
    </row>
    <row r="213" spans="10:22" s="31" customFormat="1" ht="15.5" x14ac:dyDescent="0.35">
      <c r="J213" s="20"/>
      <c r="K213" s="38"/>
      <c r="O213" s="37"/>
      <c r="P213" s="37"/>
      <c r="Q213" s="37"/>
      <c r="R213" s="37"/>
      <c r="S213" s="37"/>
      <c r="T213" s="37"/>
      <c r="U213" s="20"/>
      <c r="V213" s="20"/>
    </row>
    <row r="214" spans="10:22" s="31" customFormat="1" ht="15.5" x14ac:dyDescent="0.35">
      <c r="J214" s="20"/>
      <c r="K214" s="38"/>
      <c r="O214" s="37"/>
      <c r="P214" s="37"/>
      <c r="Q214" s="37"/>
      <c r="R214" s="37"/>
      <c r="S214" s="37"/>
      <c r="T214" s="37"/>
      <c r="U214" s="20"/>
      <c r="V214" s="20"/>
    </row>
    <row r="215" spans="10:22" s="31" customFormat="1" ht="15.5" x14ac:dyDescent="0.35">
      <c r="J215" s="20"/>
      <c r="K215" s="38"/>
      <c r="O215" s="37"/>
      <c r="P215" s="37"/>
      <c r="Q215" s="37"/>
      <c r="R215" s="37"/>
      <c r="S215" s="37"/>
      <c r="T215" s="37"/>
      <c r="U215" s="20"/>
      <c r="V215" s="20"/>
    </row>
    <row r="216" spans="10:22" s="31" customFormat="1" ht="15.5" x14ac:dyDescent="0.35">
      <c r="J216" s="20"/>
      <c r="K216" s="38"/>
      <c r="O216" s="37"/>
      <c r="P216" s="37"/>
      <c r="Q216" s="37"/>
      <c r="R216" s="37"/>
      <c r="S216" s="37"/>
      <c r="T216" s="37"/>
      <c r="U216" s="20"/>
      <c r="V216" s="20"/>
    </row>
    <row r="217" spans="10:22" s="31" customFormat="1" ht="15.5" x14ac:dyDescent="0.35">
      <c r="J217" s="20"/>
      <c r="K217" s="38"/>
      <c r="O217" s="37"/>
      <c r="P217" s="37"/>
      <c r="Q217" s="37"/>
      <c r="R217" s="37"/>
      <c r="S217" s="37"/>
      <c r="T217" s="37"/>
      <c r="U217" s="20"/>
      <c r="V217" s="20"/>
    </row>
    <row r="218" spans="10:22" s="31" customFormat="1" ht="15.5" x14ac:dyDescent="0.35">
      <c r="J218" s="20"/>
      <c r="K218" s="38"/>
      <c r="O218" s="37"/>
      <c r="P218" s="37"/>
      <c r="Q218" s="37"/>
      <c r="R218" s="37"/>
      <c r="S218" s="37"/>
      <c r="T218" s="37"/>
      <c r="U218" s="20"/>
      <c r="V218" s="20"/>
    </row>
    <row r="219" spans="10:22" s="31" customFormat="1" ht="15.5" x14ac:dyDescent="0.35">
      <c r="J219" s="20"/>
      <c r="K219" s="38"/>
      <c r="O219" s="37"/>
      <c r="P219" s="37"/>
      <c r="Q219" s="37"/>
      <c r="R219" s="37"/>
      <c r="S219" s="37"/>
      <c r="T219" s="37"/>
      <c r="U219" s="20"/>
      <c r="V219" s="20"/>
    </row>
    <row r="220" spans="10:22" s="31" customFormat="1" ht="15.5" x14ac:dyDescent="0.35">
      <c r="J220" s="20"/>
      <c r="K220" s="38"/>
      <c r="O220" s="37"/>
      <c r="P220" s="37"/>
      <c r="Q220" s="37"/>
      <c r="R220" s="37"/>
      <c r="S220" s="37"/>
      <c r="T220" s="37"/>
      <c r="U220" s="20"/>
      <c r="V220" s="20"/>
    </row>
    <row r="221" spans="10:22" s="31" customFormat="1" ht="15.5" x14ac:dyDescent="0.35">
      <c r="J221" s="20"/>
      <c r="K221" s="38"/>
      <c r="O221" s="37"/>
      <c r="P221" s="37"/>
      <c r="Q221" s="37"/>
      <c r="R221" s="37"/>
      <c r="S221" s="37"/>
      <c r="T221" s="37"/>
      <c r="U221" s="20"/>
      <c r="V221" s="20"/>
    </row>
    <row r="222" spans="10:22" s="31" customFormat="1" ht="15.5" x14ac:dyDescent="0.35">
      <c r="J222" s="20"/>
      <c r="K222" s="38"/>
      <c r="O222" s="37"/>
      <c r="P222" s="37"/>
      <c r="Q222" s="37"/>
      <c r="R222" s="37"/>
      <c r="S222" s="37"/>
      <c r="T222" s="37"/>
      <c r="U222" s="20"/>
      <c r="V222" s="20"/>
    </row>
    <row r="223" spans="10:22" s="31" customFormat="1" ht="15.5" x14ac:dyDescent="0.35">
      <c r="J223" s="20"/>
      <c r="K223" s="38"/>
      <c r="O223" s="37"/>
      <c r="P223" s="37"/>
      <c r="Q223" s="37"/>
      <c r="R223" s="37"/>
      <c r="S223" s="37"/>
      <c r="T223" s="37"/>
      <c r="U223" s="20"/>
      <c r="V223" s="20"/>
    </row>
    <row r="224" spans="10:22" s="31" customFormat="1" ht="15.5" x14ac:dyDescent="0.35">
      <c r="J224" s="20"/>
      <c r="K224" s="38"/>
      <c r="O224" s="37"/>
      <c r="P224" s="37"/>
      <c r="Q224" s="37"/>
      <c r="R224" s="37"/>
      <c r="S224" s="37"/>
      <c r="T224" s="37"/>
      <c r="U224" s="20"/>
      <c r="V224" s="20"/>
    </row>
    <row r="225" spans="10:22" s="31" customFormat="1" ht="15.5" x14ac:dyDescent="0.35">
      <c r="J225" s="20"/>
      <c r="K225" s="38"/>
      <c r="O225" s="37"/>
      <c r="P225" s="37"/>
      <c r="Q225" s="37"/>
      <c r="R225" s="37"/>
      <c r="S225" s="37"/>
      <c r="T225" s="37"/>
      <c r="U225" s="20"/>
      <c r="V225" s="20"/>
    </row>
    <row r="226" spans="10:22" s="31" customFormat="1" ht="15.5" x14ac:dyDescent="0.35">
      <c r="J226" s="20"/>
      <c r="K226" s="38"/>
      <c r="O226" s="37"/>
      <c r="P226" s="37"/>
      <c r="Q226" s="37"/>
      <c r="R226" s="37"/>
      <c r="S226" s="37"/>
      <c r="T226" s="37"/>
      <c r="U226" s="20"/>
      <c r="V226" s="20"/>
    </row>
    <row r="227" spans="10:22" s="31" customFormat="1" ht="15.5" x14ac:dyDescent="0.35">
      <c r="J227" s="20"/>
      <c r="K227" s="38"/>
      <c r="O227" s="37"/>
      <c r="P227" s="37"/>
      <c r="Q227" s="37"/>
      <c r="R227" s="37"/>
      <c r="S227" s="37"/>
      <c r="T227" s="37"/>
      <c r="U227" s="20"/>
      <c r="V227" s="20"/>
    </row>
    <row r="228" spans="10:22" s="31" customFormat="1" ht="15.5" x14ac:dyDescent="0.35">
      <c r="J228" s="20"/>
      <c r="K228" s="38"/>
      <c r="O228" s="37"/>
      <c r="P228" s="37"/>
      <c r="Q228" s="37"/>
      <c r="R228" s="37"/>
      <c r="S228" s="37"/>
      <c r="T228" s="37"/>
      <c r="U228" s="20"/>
      <c r="V228" s="20"/>
    </row>
    <row r="229" spans="10:22" s="31" customFormat="1" ht="15.5" x14ac:dyDescent="0.35">
      <c r="J229" s="20"/>
      <c r="K229" s="38"/>
      <c r="O229" s="37"/>
      <c r="P229" s="37"/>
      <c r="Q229" s="37"/>
      <c r="R229" s="37"/>
      <c r="S229" s="37"/>
      <c r="T229" s="37"/>
      <c r="U229" s="20"/>
      <c r="V229" s="20"/>
    </row>
    <row r="230" spans="10:22" s="31" customFormat="1" ht="15.5" x14ac:dyDescent="0.35">
      <c r="J230" s="20"/>
      <c r="K230" s="38"/>
      <c r="O230" s="37"/>
      <c r="P230" s="37"/>
      <c r="Q230" s="37"/>
      <c r="R230" s="37"/>
      <c r="S230" s="37"/>
      <c r="T230" s="37"/>
      <c r="U230" s="20"/>
      <c r="V230" s="20"/>
    </row>
    <row r="231" spans="10:22" s="31" customFormat="1" ht="15.5" x14ac:dyDescent="0.35">
      <c r="J231" s="20"/>
      <c r="K231" s="38"/>
      <c r="O231" s="37"/>
      <c r="P231" s="37"/>
      <c r="Q231" s="37"/>
      <c r="R231" s="37"/>
      <c r="S231" s="37"/>
      <c r="T231" s="37"/>
      <c r="U231" s="20"/>
      <c r="V231" s="20"/>
    </row>
    <row r="232" spans="10:22" s="31" customFormat="1" ht="15.5" x14ac:dyDescent="0.35">
      <c r="J232" s="20"/>
      <c r="K232" s="38"/>
      <c r="O232" s="37"/>
      <c r="P232" s="37"/>
      <c r="Q232" s="37"/>
      <c r="R232" s="37"/>
      <c r="S232" s="37"/>
      <c r="T232" s="37"/>
      <c r="U232" s="20"/>
      <c r="V232" s="20"/>
    </row>
    <row r="233" spans="10:22" s="31" customFormat="1" ht="15.5" x14ac:dyDescent="0.35">
      <c r="J233" s="20"/>
      <c r="K233" s="38"/>
      <c r="O233" s="37"/>
      <c r="P233" s="37"/>
      <c r="Q233" s="37"/>
      <c r="R233" s="37"/>
      <c r="S233" s="37"/>
      <c r="T233" s="37"/>
      <c r="U233" s="20"/>
      <c r="V233" s="20"/>
    </row>
    <row r="234" spans="10:22" s="31" customFormat="1" ht="15.5" x14ac:dyDescent="0.35">
      <c r="J234" s="20"/>
      <c r="K234" s="38"/>
      <c r="O234" s="37"/>
      <c r="P234" s="37"/>
      <c r="Q234" s="37"/>
      <c r="R234" s="37"/>
      <c r="S234" s="37"/>
      <c r="T234" s="37"/>
      <c r="U234" s="20"/>
      <c r="V234" s="20"/>
    </row>
    <row r="235" spans="10:22" s="31" customFormat="1" ht="15.5" x14ac:dyDescent="0.35">
      <c r="J235" s="20"/>
      <c r="K235" s="38"/>
      <c r="O235" s="37"/>
      <c r="P235" s="37"/>
      <c r="Q235" s="37"/>
      <c r="R235" s="37"/>
      <c r="S235" s="37"/>
      <c r="T235" s="37"/>
      <c r="U235" s="20"/>
      <c r="V235" s="20"/>
    </row>
    <row r="236" spans="10:22" s="31" customFormat="1" ht="15.5" x14ac:dyDescent="0.35">
      <c r="J236" s="20"/>
      <c r="K236" s="38"/>
      <c r="O236" s="37"/>
      <c r="P236" s="37"/>
      <c r="Q236" s="37"/>
      <c r="R236" s="37"/>
      <c r="S236" s="37"/>
      <c r="T236" s="37"/>
      <c r="U236" s="20"/>
      <c r="V236" s="20"/>
    </row>
    <row r="237" spans="10:22" s="31" customFormat="1" ht="15.5" x14ac:dyDescent="0.35">
      <c r="J237" s="20"/>
      <c r="K237" s="38"/>
      <c r="O237" s="37"/>
      <c r="P237" s="37"/>
      <c r="Q237" s="37"/>
      <c r="R237" s="37"/>
      <c r="S237" s="37"/>
      <c r="T237" s="37"/>
      <c r="U237" s="20"/>
      <c r="V237" s="20"/>
    </row>
    <row r="238" spans="10:22" s="31" customFormat="1" ht="15.5" x14ac:dyDescent="0.35">
      <c r="J238" s="20"/>
      <c r="K238" s="38"/>
      <c r="O238" s="37"/>
      <c r="P238" s="37"/>
      <c r="Q238" s="37"/>
      <c r="R238" s="37"/>
      <c r="S238" s="37"/>
      <c r="T238" s="37"/>
      <c r="U238" s="20"/>
      <c r="V238" s="20"/>
    </row>
    <row r="239" spans="10:22" s="31" customFormat="1" ht="15.5" x14ac:dyDescent="0.35">
      <c r="J239" s="20"/>
      <c r="K239" s="38"/>
      <c r="O239" s="37"/>
      <c r="P239" s="37"/>
      <c r="Q239" s="37"/>
      <c r="R239" s="37"/>
      <c r="S239" s="37"/>
      <c r="T239" s="37"/>
      <c r="U239" s="20"/>
      <c r="V239" s="20"/>
    </row>
    <row r="240" spans="10:22" s="31" customFormat="1" ht="15.5" x14ac:dyDescent="0.35">
      <c r="J240" s="20"/>
      <c r="K240" s="38"/>
      <c r="O240" s="37"/>
      <c r="P240" s="37"/>
      <c r="Q240" s="37"/>
      <c r="R240" s="37"/>
      <c r="S240" s="37"/>
      <c r="T240" s="37"/>
      <c r="U240" s="20"/>
      <c r="V240" s="20"/>
    </row>
    <row r="241" spans="10:22" s="31" customFormat="1" ht="15.5" x14ac:dyDescent="0.35">
      <c r="J241" s="20"/>
      <c r="K241" s="38"/>
      <c r="O241" s="37"/>
      <c r="P241" s="37"/>
      <c r="Q241" s="37"/>
      <c r="R241" s="37"/>
      <c r="S241" s="37"/>
      <c r="T241" s="37"/>
      <c r="U241" s="20"/>
      <c r="V241" s="20"/>
    </row>
    <row r="242" spans="10:22" s="31" customFormat="1" ht="15.5" x14ac:dyDescent="0.35">
      <c r="J242" s="20"/>
      <c r="K242" s="38"/>
      <c r="O242" s="37"/>
      <c r="P242" s="37"/>
      <c r="Q242" s="37"/>
      <c r="R242" s="37"/>
      <c r="S242" s="37"/>
      <c r="T242" s="37"/>
      <c r="U242" s="20"/>
      <c r="V242" s="20"/>
    </row>
    <row r="243" spans="10:22" s="31" customFormat="1" ht="15.5" x14ac:dyDescent="0.35">
      <c r="J243" s="20"/>
      <c r="K243" s="38"/>
      <c r="O243" s="37"/>
      <c r="P243" s="37"/>
      <c r="Q243" s="37"/>
      <c r="R243" s="37"/>
      <c r="S243" s="37"/>
      <c r="T243" s="37"/>
      <c r="U243" s="20"/>
      <c r="V243" s="20"/>
    </row>
    <row r="244" spans="10:22" s="31" customFormat="1" ht="15.5" x14ac:dyDescent="0.35">
      <c r="J244" s="20"/>
      <c r="K244" s="38"/>
      <c r="O244" s="37"/>
      <c r="P244" s="37"/>
      <c r="Q244" s="37"/>
      <c r="R244" s="37"/>
      <c r="S244" s="37"/>
      <c r="T244" s="37"/>
      <c r="U244" s="20"/>
      <c r="V244" s="20"/>
    </row>
    <row r="245" spans="10:22" s="31" customFormat="1" ht="15.5" x14ac:dyDescent="0.35">
      <c r="J245" s="20"/>
      <c r="K245" s="38"/>
      <c r="O245" s="37"/>
      <c r="P245" s="37"/>
      <c r="Q245" s="37"/>
      <c r="R245" s="37"/>
      <c r="S245" s="37"/>
      <c r="T245" s="37"/>
      <c r="U245" s="20"/>
      <c r="V245" s="20"/>
    </row>
    <row r="246" spans="10:22" s="31" customFormat="1" ht="15.5" x14ac:dyDescent="0.35">
      <c r="J246" s="20"/>
      <c r="K246" s="38"/>
      <c r="O246" s="37"/>
      <c r="P246" s="37"/>
      <c r="Q246" s="37"/>
      <c r="R246" s="37"/>
      <c r="S246" s="37"/>
      <c r="T246" s="37"/>
      <c r="U246" s="20"/>
      <c r="V246" s="20"/>
    </row>
    <row r="247" spans="10:22" s="31" customFormat="1" ht="15.5" x14ac:dyDescent="0.35">
      <c r="J247" s="20"/>
      <c r="K247" s="38"/>
      <c r="O247" s="37"/>
      <c r="P247" s="37"/>
      <c r="Q247" s="37"/>
      <c r="R247" s="37"/>
      <c r="S247" s="37"/>
      <c r="T247" s="37"/>
      <c r="U247" s="20"/>
      <c r="V247" s="20"/>
    </row>
    <row r="248" spans="10:22" s="31" customFormat="1" ht="15.5" x14ac:dyDescent="0.35">
      <c r="J248" s="20"/>
      <c r="K248" s="38"/>
      <c r="O248" s="37"/>
      <c r="P248" s="37"/>
      <c r="Q248" s="37"/>
      <c r="R248" s="37"/>
      <c r="S248" s="37"/>
      <c r="T248" s="37"/>
      <c r="U248" s="20"/>
      <c r="V248" s="20"/>
    </row>
    <row r="249" spans="10:22" s="31" customFormat="1" ht="15.5" x14ac:dyDescent="0.35">
      <c r="J249" s="20"/>
      <c r="K249" s="38"/>
      <c r="O249" s="37"/>
      <c r="P249" s="37"/>
      <c r="Q249" s="37"/>
      <c r="R249" s="37"/>
      <c r="S249" s="37"/>
      <c r="T249" s="37"/>
      <c r="U249" s="20"/>
      <c r="V249" s="20"/>
    </row>
    <row r="250" spans="10:22" s="31" customFormat="1" ht="15.5" x14ac:dyDescent="0.35">
      <c r="J250" s="20"/>
      <c r="K250" s="38"/>
      <c r="O250" s="37"/>
      <c r="P250" s="37"/>
      <c r="Q250" s="37"/>
      <c r="R250" s="37"/>
      <c r="S250" s="37"/>
      <c r="T250" s="37"/>
      <c r="U250" s="20"/>
      <c r="V250" s="20"/>
    </row>
    <row r="251" spans="10:22" s="31" customFormat="1" ht="15.5" x14ac:dyDescent="0.35">
      <c r="J251" s="20"/>
      <c r="K251" s="38"/>
      <c r="O251" s="37"/>
      <c r="P251" s="37"/>
      <c r="Q251" s="37"/>
      <c r="R251" s="37"/>
      <c r="S251" s="37"/>
      <c r="T251" s="37"/>
      <c r="U251" s="20"/>
      <c r="V251" s="20"/>
    </row>
    <row r="252" spans="10:22" s="31" customFormat="1" ht="15.5" x14ac:dyDescent="0.35">
      <c r="J252" s="20"/>
      <c r="K252" s="38"/>
      <c r="O252" s="37"/>
      <c r="P252" s="37"/>
      <c r="Q252" s="37"/>
      <c r="R252" s="37"/>
      <c r="S252" s="37"/>
      <c r="T252" s="37"/>
      <c r="U252" s="20"/>
      <c r="V252" s="20"/>
    </row>
    <row r="253" spans="10:22" s="31" customFormat="1" ht="15.5" x14ac:dyDescent="0.35">
      <c r="J253" s="20"/>
      <c r="K253" s="38"/>
      <c r="O253" s="37"/>
      <c r="P253" s="37"/>
      <c r="Q253" s="37"/>
      <c r="R253" s="37"/>
      <c r="S253" s="37"/>
      <c r="T253" s="37"/>
      <c r="U253" s="20"/>
      <c r="V253" s="20"/>
    </row>
    <row r="254" spans="10:22" s="31" customFormat="1" ht="15.5" x14ac:dyDescent="0.35">
      <c r="J254" s="20"/>
      <c r="K254" s="38"/>
      <c r="O254" s="37"/>
      <c r="P254" s="37"/>
      <c r="Q254" s="37"/>
      <c r="R254" s="37"/>
      <c r="S254" s="37"/>
      <c r="T254" s="37"/>
      <c r="U254" s="20"/>
      <c r="V254" s="20"/>
    </row>
    <row r="255" spans="10:22" s="31" customFormat="1" ht="15.5" x14ac:dyDescent="0.35">
      <c r="J255" s="20"/>
      <c r="K255" s="38"/>
      <c r="O255" s="37"/>
      <c r="P255" s="37"/>
      <c r="Q255" s="37"/>
      <c r="R255" s="37"/>
      <c r="S255" s="37"/>
      <c r="T255" s="37"/>
      <c r="U255" s="20"/>
      <c r="V255" s="20"/>
    </row>
    <row r="256" spans="10:22" s="31" customFormat="1" ht="15.5" x14ac:dyDescent="0.35">
      <c r="J256" s="20"/>
      <c r="K256" s="38"/>
      <c r="O256" s="37"/>
      <c r="P256" s="37"/>
      <c r="Q256" s="37"/>
      <c r="R256" s="37"/>
      <c r="S256" s="37"/>
      <c r="T256" s="37"/>
      <c r="U256" s="20"/>
      <c r="V256" s="20"/>
    </row>
    <row r="257" spans="10:22" s="31" customFormat="1" ht="15.5" x14ac:dyDescent="0.35">
      <c r="J257" s="20"/>
      <c r="K257" s="38"/>
      <c r="O257" s="37"/>
      <c r="P257" s="37"/>
      <c r="Q257" s="37"/>
      <c r="R257" s="37"/>
      <c r="S257" s="37"/>
      <c r="T257" s="37"/>
      <c r="U257" s="20"/>
      <c r="V257" s="20"/>
    </row>
    <row r="258" spans="10:22" s="31" customFormat="1" ht="15.5" x14ac:dyDescent="0.35">
      <c r="J258" s="20"/>
      <c r="K258" s="38"/>
      <c r="O258" s="37"/>
      <c r="P258" s="37"/>
      <c r="Q258" s="37"/>
      <c r="R258" s="37"/>
      <c r="S258" s="37"/>
      <c r="T258" s="37"/>
      <c r="U258" s="20"/>
      <c r="V258" s="20"/>
    </row>
    <row r="259" spans="10:22" s="31" customFormat="1" ht="15.5" x14ac:dyDescent="0.35">
      <c r="J259" s="20"/>
      <c r="K259" s="38"/>
      <c r="O259" s="37"/>
      <c r="P259" s="37"/>
      <c r="Q259" s="37"/>
      <c r="R259" s="37"/>
      <c r="S259" s="37"/>
      <c r="T259" s="37"/>
      <c r="U259" s="20"/>
      <c r="V259" s="20"/>
    </row>
    <row r="260" spans="10:22" s="31" customFormat="1" ht="15.5" x14ac:dyDescent="0.35">
      <c r="J260" s="20"/>
      <c r="K260" s="38"/>
      <c r="O260" s="37"/>
      <c r="P260" s="37"/>
      <c r="Q260" s="37"/>
      <c r="R260" s="37"/>
      <c r="S260" s="37"/>
      <c r="T260" s="37"/>
      <c r="U260" s="20"/>
      <c r="V260" s="20"/>
    </row>
    <row r="261" spans="10:22" s="31" customFormat="1" ht="15.5" x14ac:dyDescent="0.35">
      <c r="J261" s="20"/>
      <c r="K261" s="38"/>
      <c r="O261" s="37"/>
      <c r="P261" s="37"/>
      <c r="Q261" s="37"/>
      <c r="R261" s="37"/>
      <c r="S261" s="37"/>
      <c r="T261" s="37"/>
      <c r="U261" s="20"/>
      <c r="V261" s="20"/>
    </row>
    <row r="262" spans="10:22" s="31" customFormat="1" ht="15.5" x14ac:dyDescent="0.35">
      <c r="J262" s="20"/>
      <c r="K262" s="38"/>
      <c r="O262" s="37"/>
      <c r="P262" s="37"/>
      <c r="Q262" s="37"/>
      <c r="R262" s="37"/>
      <c r="S262" s="37"/>
      <c r="T262" s="37"/>
      <c r="U262" s="20"/>
      <c r="V262" s="20"/>
    </row>
    <row r="263" spans="10:22" s="31" customFormat="1" ht="15.5" x14ac:dyDescent="0.35">
      <c r="J263" s="20"/>
      <c r="K263" s="38"/>
      <c r="O263" s="37"/>
      <c r="P263" s="37"/>
      <c r="Q263" s="37"/>
      <c r="R263" s="37"/>
      <c r="S263" s="37"/>
      <c r="T263" s="37"/>
      <c r="U263" s="20"/>
      <c r="V263" s="20"/>
    </row>
    <row r="264" spans="10:22" s="31" customFormat="1" ht="15.5" x14ac:dyDescent="0.35">
      <c r="J264" s="20"/>
      <c r="K264" s="38"/>
      <c r="O264" s="37"/>
      <c r="P264" s="37"/>
      <c r="Q264" s="37"/>
      <c r="R264" s="37"/>
      <c r="S264" s="37"/>
      <c r="T264" s="37"/>
      <c r="U264" s="20"/>
      <c r="V264" s="20"/>
    </row>
    <row r="265" spans="10:22" s="31" customFormat="1" ht="15.5" x14ac:dyDescent="0.35">
      <c r="J265" s="20"/>
      <c r="K265" s="38"/>
      <c r="O265" s="37"/>
      <c r="P265" s="37"/>
      <c r="Q265" s="37"/>
      <c r="R265" s="37"/>
      <c r="S265" s="37"/>
      <c r="T265" s="37"/>
      <c r="U265" s="20"/>
      <c r="V265" s="20"/>
    </row>
    <row r="266" spans="10:22" s="31" customFormat="1" ht="15.5" x14ac:dyDescent="0.35">
      <c r="J266" s="20"/>
      <c r="K266" s="38"/>
      <c r="O266" s="37"/>
      <c r="P266" s="37"/>
      <c r="Q266" s="37"/>
      <c r="R266" s="37"/>
      <c r="S266" s="37"/>
      <c r="T266" s="37"/>
      <c r="U266" s="20"/>
      <c r="V266" s="20"/>
    </row>
    <row r="267" spans="10:22" s="31" customFormat="1" ht="15.5" x14ac:dyDescent="0.35">
      <c r="J267" s="20"/>
      <c r="K267" s="38"/>
      <c r="O267" s="37"/>
      <c r="P267" s="37"/>
      <c r="Q267" s="37"/>
      <c r="R267" s="37"/>
      <c r="S267" s="37"/>
      <c r="T267" s="37"/>
      <c r="U267" s="20"/>
      <c r="V267" s="20"/>
    </row>
    <row r="268" spans="10:22" s="31" customFormat="1" ht="15.5" x14ac:dyDescent="0.35">
      <c r="J268" s="20"/>
      <c r="K268" s="38"/>
      <c r="O268" s="37"/>
      <c r="P268" s="37"/>
      <c r="Q268" s="37"/>
      <c r="R268" s="37"/>
      <c r="S268" s="37"/>
      <c r="T268" s="37"/>
      <c r="U268" s="20"/>
      <c r="V268" s="20"/>
    </row>
    <row r="269" spans="10:22" s="31" customFormat="1" ht="15.5" x14ac:dyDescent="0.35">
      <c r="J269" s="20"/>
      <c r="K269" s="38"/>
      <c r="O269" s="37"/>
      <c r="P269" s="37"/>
      <c r="Q269" s="37"/>
      <c r="R269" s="37"/>
      <c r="S269" s="37"/>
      <c r="T269" s="37"/>
      <c r="U269" s="20"/>
      <c r="V269" s="20"/>
    </row>
    <row r="270" spans="10:22" s="31" customFormat="1" ht="15.5" x14ac:dyDescent="0.35">
      <c r="J270" s="20"/>
      <c r="K270" s="38"/>
      <c r="O270" s="37"/>
      <c r="P270" s="37"/>
      <c r="Q270" s="37"/>
      <c r="R270" s="37"/>
      <c r="S270" s="37"/>
      <c r="T270" s="37"/>
      <c r="U270" s="20"/>
      <c r="V270" s="20"/>
    </row>
    <row r="271" spans="10:22" s="31" customFormat="1" ht="15.5" x14ac:dyDescent="0.35">
      <c r="J271" s="20"/>
      <c r="K271" s="38"/>
      <c r="O271" s="37"/>
      <c r="P271" s="37"/>
      <c r="Q271" s="37"/>
      <c r="R271" s="37"/>
      <c r="S271" s="37"/>
      <c r="T271" s="37"/>
      <c r="U271" s="20"/>
      <c r="V271" s="20"/>
    </row>
    <row r="272" spans="10:22" s="31" customFormat="1" ht="15.5" x14ac:dyDescent="0.35">
      <c r="J272" s="20"/>
      <c r="K272" s="38"/>
      <c r="O272" s="37"/>
      <c r="P272" s="37"/>
      <c r="Q272" s="37"/>
      <c r="R272" s="37"/>
      <c r="S272" s="37"/>
      <c r="T272" s="37"/>
      <c r="U272" s="20"/>
      <c r="V272" s="20"/>
    </row>
    <row r="273" spans="10:22" s="31" customFormat="1" ht="15.5" x14ac:dyDescent="0.35">
      <c r="J273" s="20"/>
      <c r="K273" s="38"/>
      <c r="O273" s="37"/>
      <c r="P273" s="37"/>
      <c r="Q273" s="37"/>
      <c r="R273" s="37"/>
      <c r="S273" s="37"/>
      <c r="T273" s="37"/>
      <c r="U273" s="20"/>
      <c r="V273" s="20"/>
    </row>
    <row r="274" spans="10:22" s="31" customFormat="1" ht="15.5" x14ac:dyDescent="0.35">
      <c r="J274" s="20"/>
      <c r="K274" s="38"/>
      <c r="O274" s="37"/>
      <c r="P274" s="37"/>
      <c r="Q274" s="37"/>
      <c r="R274" s="37"/>
      <c r="S274" s="37"/>
      <c r="T274" s="37"/>
      <c r="U274" s="20"/>
      <c r="V274" s="20"/>
    </row>
    <row r="275" spans="10:22" s="31" customFormat="1" ht="15.5" x14ac:dyDescent="0.35">
      <c r="J275" s="20"/>
      <c r="K275" s="38"/>
      <c r="O275" s="37"/>
      <c r="P275" s="37"/>
      <c r="Q275" s="37"/>
      <c r="R275" s="37"/>
      <c r="S275" s="37"/>
      <c r="T275" s="37"/>
      <c r="U275" s="20"/>
      <c r="V275" s="20"/>
    </row>
    <row r="276" spans="10:22" s="31" customFormat="1" ht="15.5" x14ac:dyDescent="0.35">
      <c r="J276" s="20"/>
      <c r="K276" s="38"/>
      <c r="O276" s="37"/>
      <c r="P276" s="37"/>
      <c r="Q276" s="37"/>
      <c r="R276" s="37"/>
      <c r="S276" s="37"/>
      <c r="T276" s="37"/>
      <c r="U276" s="20"/>
      <c r="V276" s="20"/>
    </row>
    <row r="277" spans="10:22" s="31" customFormat="1" ht="15.5" x14ac:dyDescent="0.35">
      <c r="J277" s="20"/>
      <c r="K277" s="38"/>
      <c r="O277" s="37"/>
      <c r="P277" s="37"/>
      <c r="Q277" s="37"/>
      <c r="R277" s="37"/>
      <c r="S277" s="37"/>
      <c r="T277" s="37"/>
      <c r="U277" s="20"/>
      <c r="V277" s="20"/>
    </row>
    <row r="278" spans="10:22" s="31" customFormat="1" ht="15.5" x14ac:dyDescent="0.35">
      <c r="J278" s="20"/>
      <c r="K278" s="38"/>
      <c r="O278" s="37"/>
      <c r="P278" s="37"/>
      <c r="Q278" s="37"/>
      <c r="R278" s="37"/>
      <c r="S278" s="37"/>
      <c r="T278" s="37"/>
      <c r="U278" s="20"/>
      <c r="V278" s="20"/>
    </row>
    <row r="279" spans="10:22" s="31" customFormat="1" ht="15.5" x14ac:dyDescent="0.35">
      <c r="J279" s="20"/>
      <c r="K279" s="38"/>
      <c r="O279" s="37"/>
      <c r="P279" s="37"/>
      <c r="Q279" s="37"/>
      <c r="R279" s="37"/>
      <c r="S279" s="37"/>
      <c r="T279" s="37"/>
      <c r="U279" s="20"/>
      <c r="V279" s="20"/>
    </row>
    <row r="280" spans="10:22" s="31" customFormat="1" ht="15.5" x14ac:dyDescent="0.35">
      <c r="J280" s="20"/>
      <c r="K280" s="38"/>
      <c r="O280" s="37"/>
      <c r="P280" s="37"/>
      <c r="Q280" s="37"/>
      <c r="R280" s="37"/>
      <c r="S280" s="37"/>
      <c r="T280" s="37"/>
      <c r="U280" s="20"/>
      <c r="V280" s="20"/>
    </row>
    <row r="281" spans="10:22" s="31" customFormat="1" ht="15.5" x14ac:dyDescent="0.35">
      <c r="J281" s="20"/>
      <c r="K281" s="38"/>
      <c r="O281" s="37"/>
      <c r="P281" s="37"/>
      <c r="Q281" s="37"/>
      <c r="R281" s="37"/>
      <c r="S281" s="37"/>
      <c r="T281" s="37"/>
      <c r="U281" s="20"/>
      <c r="V281" s="20"/>
    </row>
    <row r="282" spans="10:22" s="31" customFormat="1" ht="15.5" x14ac:dyDescent="0.35">
      <c r="J282" s="20"/>
      <c r="K282" s="38"/>
      <c r="O282" s="37"/>
      <c r="P282" s="37"/>
      <c r="Q282" s="37"/>
      <c r="R282" s="37"/>
      <c r="S282" s="37"/>
      <c r="T282" s="37"/>
      <c r="U282" s="20"/>
      <c r="V282" s="20"/>
    </row>
    <row r="283" spans="10:22" s="31" customFormat="1" ht="15.5" x14ac:dyDescent="0.35">
      <c r="J283" s="20"/>
      <c r="K283" s="38"/>
      <c r="O283" s="37"/>
      <c r="P283" s="37"/>
      <c r="Q283" s="37"/>
      <c r="R283" s="37"/>
      <c r="S283" s="37"/>
      <c r="T283" s="37"/>
      <c r="U283" s="20"/>
      <c r="V283" s="20"/>
    </row>
    <row r="284" spans="10:22" s="31" customFormat="1" ht="15.5" x14ac:dyDescent="0.35">
      <c r="J284" s="20"/>
      <c r="K284" s="38"/>
      <c r="O284" s="37"/>
      <c r="P284" s="37"/>
      <c r="Q284" s="37"/>
      <c r="R284" s="37"/>
      <c r="S284" s="37"/>
      <c r="T284" s="37"/>
      <c r="U284" s="20"/>
      <c r="V284" s="20"/>
    </row>
    <row r="285" spans="10:22" s="31" customFormat="1" ht="15.5" x14ac:dyDescent="0.35">
      <c r="J285" s="20"/>
      <c r="K285" s="38"/>
      <c r="O285" s="37"/>
      <c r="P285" s="37"/>
      <c r="Q285" s="37"/>
      <c r="R285" s="37"/>
      <c r="S285" s="37"/>
      <c r="T285" s="37"/>
      <c r="U285" s="20"/>
      <c r="V285" s="20"/>
    </row>
    <row r="286" spans="10:22" s="31" customFormat="1" ht="15.5" x14ac:dyDescent="0.35">
      <c r="J286" s="20"/>
      <c r="K286" s="38"/>
      <c r="O286" s="37"/>
      <c r="P286" s="37"/>
      <c r="Q286" s="37"/>
      <c r="R286" s="37"/>
      <c r="S286" s="37"/>
      <c r="T286" s="37"/>
      <c r="U286" s="20"/>
      <c r="V286" s="20"/>
    </row>
    <row r="287" spans="10:22" s="31" customFormat="1" ht="15.5" x14ac:dyDescent="0.35">
      <c r="J287" s="20"/>
      <c r="K287" s="38"/>
      <c r="O287" s="37"/>
      <c r="P287" s="37"/>
      <c r="Q287" s="37"/>
      <c r="R287" s="37"/>
      <c r="S287" s="37"/>
      <c r="T287" s="37"/>
      <c r="U287" s="20"/>
      <c r="V287" s="20"/>
    </row>
    <row r="288" spans="10:22" s="31" customFormat="1" ht="15.5" x14ac:dyDescent="0.35">
      <c r="J288" s="20"/>
      <c r="K288" s="38"/>
      <c r="O288" s="37"/>
      <c r="P288" s="37"/>
      <c r="Q288" s="37"/>
      <c r="R288" s="37"/>
      <c r="S288" s="37"/>
      <c r="T288" s="37"/>
      <c r="U288" s="20"/>
      <c r="V288" s="20"/>
    </row>
    <row r="289" spans="10:22" s="31" customFormat="1" ht="15.5" x14ac:dyDescent="0.35">
      <c r="J289" s="20"/>
      <c r="K289" s="38"/>
      <c r="O289" s="37"/>
      <c r="P289" s="37"/>
      <c r="Q289" s="37"/>
      <c r="R289" s="37"/>
      <c r="S289" s="37"/>
      <c r="T289" s="37"/>
      <c r="U289" s="20"/>
      <c r="V289" s="20"/>
    </row>
    <row r="290" spans="10:22" s="31" customFormat="1" ht="15.5" x14ac:dyDescent="0.35">
      <c r="J290" s="20"/>
      <c r="K290" s="38"/>
      <c r="O290" s="37"/>
      <c r="P290" s="37"/>
      <c r="Q290" s="37"/>
      <c r="R290" s="37"/>
      <c r="S290" s="37"/>
      <c r="T290" s="37"/>
      <c r="U290" s="20"/>
      <c r="V290" s="20"/>
    </row>
    <row r="291" spans="10:22" s="31" customFormat="1" ht="15.5" x14ac:dyDescent="0.35">
      <c r="J291" s="20"/>
      <c r="K291" s="38"/>
      <c r="O291" s="37"/>
      <c r="P291" s="37"/>
      <c r="Q291" s="37"/>
      <c r="R291" s="37"/>
      <c r="S291" s="37"/>
      <c r="T291" s="37"/>
      <c r="U291" s="20"/>
      <c r="V291" s="20"/>
    </row>
    <row r="292" spans="10:22" s="31" customFormat="1" ht="15.5" x14ac:dyDescent="0.35">
      <c r="J292" s="20"/>
      <c r="K292" s="38"/>
      <c r="O292" s="37"/>
      <c r="P292" s="37"/>
      <c r="Q292" s="37"/>
      <c r="R292" s="37"/>
      <c r="S292" s="37"/>
      <c r="T292" s="37"/>
      <c r="U292" s="20"/>
      <c r="V292" s="20"/>
    </row>
    <row r="293" spans="10:22" s="31" customFormat="1" ht="15.5" x14ac:dyDescent="0.35">
      <c r="J293" s="20"/>
      <c r="K293" s="38"/>
      <c r="O293" s="37"/>
      <c r="P293" s="37"/>
      <c r="Q293" s="37"/>
      <c r="R293" s="37"/>
      <c r="S293" s="37"/>
      <c r="T293" s="37"/>
      <c r="U293" s="20"/>
      <c r="V293" s="20"/>
    </row>
    <row r="294" spans="10:22" s="31" customFormat="1" ht="15.5" x14ac:dyDescent="0.35">
      <c r="J294" s="20"/>
      <c r="K294" s="38"/>
      <c r="O294" s="37"/>
      <c r="P294" s="37"/>
      <c r="Q294" s="37"/>
      <c r="R294" s="37"/>
      <c r="S294" s="37"/>
      <c r="T294" s="37"/>
      <c r="U294" s="20"/>
      <c r="V294" s="20"/>
    </row>
    <row r="295" spans="10:22" s="31" customFormat="1" ht="15.5" x14ac:dyDescent="0.35">
      <c r="J295" s="20"/>
      <c r="K295" s="38"/>
      <c r="O295" s="37"/>
      <c r="P295" s="37"/>
      <c r="Q295" s="37"/>
      <c r="R295" s="37"/>
      <c r="S295" s="37"/>
      <c r="T295" s="37"/>
      <c r="U295" s="20"/>
      <c r="V295" s="20"/>
    </row>
    <row r="296" spans="10:22" s="31" customFormat="1" ht="15.5" x14ac:dyDescent="0.35">
      <c r="J296" s="20"/>
      <c r="K296" s="38"/>
      <c r="O296" s="37"/>
      <c r="P296" s="37"/>
      <c r="Q296" s="37"/>
      <c r="R296" s="37"/>
      <c r="S296" s="37"/>
      <c r="T296" s="37"/>
      <c r="U296" s="20"/>
      <c r="V296" s="20"/>
    </row>
    <row r="297" spans="10:22" s="31" customFormat="1" ht="15.5" x14ac:dyDescent="0.35">
      <c r="J297" s="20"/>
      <c r="K297" s="38"/>
      <c r="O297" s="37"/>
      <c r="P297" s="37"/>
      <c r="Q297" s="37"/>
      <c r="R297" s="37"/>
      <c r="S297" s="37"/>
      <c r="T297" s="37"/>
      <c r="U297" s="20"/>
      <c r="V297" s="20"/>
    </row>
    <row r="298" spans="10:22" s="31" customFormat="1" ht="15.5" x14ac:dyDescent="0.35">
      <c r="J298" s="20"/>
      <c r="K298" s="38"/>
      <c r="O298" s="37"/>
      <c r="P298" s="37"/>
      <c r="Q298" s="37"/>
      <c r="R298" s="37"/>
      <c r="S298" s="37"/>
      <c r="T298" s="37"/>
      <c r="U298" s="20"/>
      <c r="V298" s="20"/>
    </row>
    <row r="299" spans="10:22" s="31" customFormat="1" ht="15.5" x14ac:dyDescent="0.35">
      <c r="J299" s="20"/>
      <c r="K299" s="38"/>
      <c r="O299" s="37"/>
      <c r="P299" s="37"/>
      <c r="Q299" s="37"/>
      <c r="R299" s="37"/>
      <c r="S299" s="37"/>
      <c r="T299" s="37"/>
      <c r="U299" s="20"/>
      <c r="V299" s="20"/>
    </row>
    <row r="300" spans="10:22" s="31" customFormat="1" ht="15.5" x14ac:dyDescent="0.35">
      <c r="J300" s="20"/>
      <c r="K300" s="38"/>
      <c r="O300" s="37"/>
      <c r="P300" s="37"/>
      <c r="Q300" s="37"/>
      <c r="R300" s="37"/>
      <c r="S300" s="37"/>
      <c r="T300" s="37"/>
      <c r="U300" s="20"/>
      <c r="V300" s="20"/>
    </row>
    <row r="301" spans="10:22" s="31" customFormat="1" ht="15.5" x14ac:dyDescent="0.35">
      <c r="J301" s="20"/>
      <c r="K301" s="38"/>
      <c r="O301" s="37"/>
      <c r="P301" s="37"/>
      <c r="Q301" s="37"/>
      <c r="R301" s="37"/>
      <c r="S301" s="37"/>
      <c r="T301" s="37"/>
      <c r="U301" s="20"/>
      <c r="V301" s="20"/>
    </row>
    <row r="302" spans="10:22" s="31" customFormat="1" ht="15.5" x14ac:dyDescent="0.35">
      <c r="J302" s="20"/>
      <c r="K302" s="38"/>
      <c r="O302" s="37"/>
      <c r="P302" s="37"/>
      <c r="Q302" s="37"/>
      <c r="R302" s="37"/>
      <c r="S302" s="37"/>
      <c r="T302" s="37"/>
      <c r="U302" s="20"/>
      <c r="V302" s="20"/>
    </row>
    <row r="303" spans="10:22" s="31" customFormat="1" ht="15.5" x14ac:dyDescent="0.35">
      <c r="J303" s="20"/>
      <c r="K303" s="38"/>
      <c r="O303" s="37"/>
      <c r="P303" s="37"/>
      <c r="Q303" s="37"/>
      <c r="R303" s="37"/>
      <c r="S303" s="37"/>
      <c r="T303" s="37"/>
      <c r="U303" s="20"/>
      <c r="V303" s="20"/>
    </row>
    <row r="304" spans="10:22" s="31" customFormat="1" ht="15.5" x14ac:dyDescent="0.35">
      <c r="J304" s="20"/>
      <c r="K304" s="38"/>
      <c r="O304" s="37"/>
      <c r="P304" s="37"/>
      <c r="Q304" s="37"/>
      <c r="R304" s="37"/>
      <c r="S304" s="37"/>
      <c r="T304" s="37"/>
      <c r="U304" s="20"/>
      <c r="V304" s="20"/>
    </row>
    <row r="305" spans="10:22" s="31" customFormat="1" ht="15.5" x14ac:dyDescent="0.35">
      <c r="J305" s="20"/>
      <c r="K305" s="38"/>
      <c r="O305" s="37"/>
      <c r="P305" s="37"/>
      <c r="Q305" s="37"/>
      <c r="R305" s="37"/>
      <c r="S305" s="37"/>
      <c r="T305" s="37"/>
      <c r="U305" s="20"/>
      <c r="V305" s="20"/>
    </row>
    <row r="306" spans="10:22" s="31" customFormat="1" ht="15.5" x14ac:dyDescent="0.35">
      <c r="J306" s="20"/>
      <c r="K306" s="38"/>
      <c r="O306" s="37"/>
      <c r="P306" s="37"/>
      <c r="Q306" s="37"/>
      <c r="R306" s="37"/>
      <c r="S306" s="37"/>
      <c r="T306" s="37"/>
      <c r="U306" s="20"/>
      <c r="V306" s="20"/>
    </row>
    <row r="307" spans="10:22" s="31" customFormat="1" ht="15.5" x14ac:dyDescent="0.35">
      <c r="J307" s="20"/>
      <c r="K307" s="38"/>
      <c r="O307" s="37"/>
      <c r="P307" s="37"/>
      <c r="Q307" s="37"/>
      <c r="R307" s="37"/>
      <c r="S307" s="37"/>
      <c r="T307" s="37"/>
      <c r="U307" s="20"/>
      <c r="V307" s="20"/>
    </row>
    <row r="308" spans="10:22" s="31" customFormat="1" ht="15.5" x14ac:dyDescent="0.35">
      <c r="J308" s="20"/>
      <c r="K308" s="38"/>
      <c r="O308" s="37"/>
      <c r="P308" s="37"/>
      <c r="Q308" s="37"/>
      <c r="R308" s="37"/>
      <c r="S308" s="37"/>
      <c r="T308" s="37"/>
      <c r="U308" s="20"/>
      <c r="V308" s="20"/>
    </row>
    <row r="309" spans="10:22" s="31" customFormat="1" ht="15.5" x14ac:dyDescent="0.35">
      <c r="J309" s="20"/>
      <c r="K309" s="38"/>
      <c r="O309" s="37"/>
      <c r="P309" s="37"/>
      <c r="Q309" s="37"/>
      <c r="R309" s="37"/>
      <c r="S309" s="37"/>
      <c r="T309" s="37"/>
      <c r="U309" s="20"/>
      <c r="V309" s="20"/>
    </row>
    <row r="310" spans="10:22" s="31" customFormat="1" ht="15.5" x14ac:dyDescent="0.35">
      <c r="J310" s="20"/>
      <c r="K310" s="38"/>
      <c r="O310" s="37"/>
      <c r="P310" s="37"/>
      <c r="Q310" s="37"/>
      <c r="R310" s="37"/>
      <c r="S310" s="37"/>
      <c r="T310" s="37"/>
      <c r="U310" s="20"/>
      <c r="V310" s="20"/>
    </row>
    <row r="311" spans="10:22" s="31" customFormat="1" ht="15.5" x14ac:dyDescent="0.35">
      <c r="J311" s="20"/>
      <c r="K311" s="38"/>
      <c r="O311" s="37"/>
      <c r="P311" s="37"/>
      <c r="Q311" s="37"/>
      <c r="R311" s="37"/>
      <c r="S311" s="37"/>
      <c r="T311" s="37"/>
      <c r="U311" s="20"/>
      <c r="V311" s="20"/>
    </row>
    <row r="312" spans="10:22" s="31" customFormat="1" ht="15.5" x14ac:dyDescent="0.35">
      <c r="J312" s="20"/>
      <c r="K312" s="38"/>
      <c r="O312" s="37"/>
      <c r="P312" s="37"/>
      <c r="Q312" s="37"/>
      <c r="R312" s="37"/>
      <c r="S312" s="37"/>
      <c r="T312" s="37"/>
      <c r="U312" s="20"/>
      <c r="V312" s="20"/>
    </row>
    <row r="313" spans="10:22" s="31" customFormat="1" ht="15.5" x14ac:dyDescent="0.35">
      <c r="J313" s="20"/>
      <c r="K313" s="38"/>
      <c r="O313" s="37"/>
      <c r="P313" s="37"/>
      <c r="Q313" s="37"/>
      <c r="R313" s="37"/>
      <c r="S313" s="37"/>
      <c r="T313" s="37"/>
      <c r="U313" s="20"/>
      <c r="V313" s="20"/>
    </row>
    <row r="314" spans="10:22" s="31" customFormat="1" ht="15.5" x14ac:dyDescent="0.35">
      <c r="J314" s="20"/>
      <c r="K314" s="38"/>
      <c r="O314" s="37"/>
      <c r="P314" s="37"/>
      <c r="Q314" s="37"/>
      <c r="R314" s="37"/>
      <c r="S314" s="37"/>
      <c r="T314" s="37"/>
      <c r="U314" s="20"/>
      <c r="V314" s="20"/>
    </row>
    <row r="315" spans="10:22" s="31" customFormat="1" ht="15.5" x14ac:dyDescent="0.35">
      <c r="J315" s="20"/>
      <c r="O315" s="37"/>
      <c r="P315" s="37"/>
      <c r="Q315" s="37"/>
      <c r="R315" s="37"/>
      <c r="S315" s="37"/>
      <c r="T315" s="37"/>
      <c r="U315" s="20"/>
      <c r="V315" s="20"/>
    </row>
    <row r="316" spans="10:22" s="31" customFormat="1" ht="15.5" x14ac:dyDescent="0.35">
      <c r="J316" s="20"/>
      <c r="O316" s="37"/>
      <c r="P316" s="37"/>
      <c r="Q316" s="37"/>
      <c r="R316" s="37"/>
      <c r="S316" s="37"/>
      <c r="T316" s="37"/>
      <c r="U316" s="20"/>
      <c r="V316" s="20"/>
    </row>
    <row r="317" spans="10:22" s="31" customFormat="1" ht="15.5" x14ac:dyDescent="0.35">
      <c r="J317" s="20"/>
      <c r="O317" s="37"/>
      <c r="P317" s="37"/>
      <c r="Q317" s="37"/>
      <c r="R317" s="37"/>
      <c r="S317" s="37"/>
      <c r="T317" s="37"/>
      <c r="U317" s="20"/>
      <c r="V317" s="20"/>
    </row>
    <row r="318" spans="10:22" s="31" customFormat="1" ht="15.5" x14ac:dyDescent="0.35">
      <c r="J318" s="20"/>
      <c r="O318" s="37"/>
      <c r="P318" s="37"/>
      <c r="Q318" s="37"/>
      <c r="R318" s="37"/>
      <c r="S318" s="37"/>
      <c r="T318" s="37"/>
      <c r="U318" s="20"/>
      <c r="V318" s="20"/>
    </row>
    <row r="319" spans="10:22" s="31" customFormat="1" ht="15.5" x14ac:dyDescent="0.35">
      <c r="J319" s="20"/>
      <c r="O319" s="37"/>
      <c r="P319" s="37"/>
      <c r="Q319" s="37"/>
      <c r="R319" s="37"/>
      <c r="S319" s="37"/>
      <c r="T319" s="37"/>
      <c r="U319" s="20"/>
      <c r="V319" s="20"/>
    </row>
    <row r="320" spans="10:22" s="31" customFormat="1" ht="15.5" x14ac:dyDescent="0.35">
      <c r="J320" s="20"/>
      <c r="O320" s="37"/>
      <c r="P320" s="37"/>
      <c r="Q320" s="37"/>
      <c r="R320" s="37"/>
      <c r="S320" s="37"/>
      <c r="T320" s="37"/>
      <c r="U320" s="20"/>
      <c r="V320" s="20"/>
    </row>
    <row r="321" spans="10:22" s="31" customFormat="1" ht="15.5" x14ac:dyDescent="0.35">
      <c r="J321" s="20"/>
      <c r="O321" s="37"/>
      <c r="P321" s="37"/>
      <c r="Q321" s="37"/>
      <c r="R321" s="37"/>
      <c r="S321" s="37"/>
      <c r="T321" s="37"/>
      <c r="U321" s="20"/>
      <c r="V321" s="20"/>
    </row>
    <row r="322" spans="10:22" s="31" customFormat="1" ht="15.5" x14ac:dyDescent="0.35">
      <c r="J322" s="20"/>
      <c r="O322" s="37"/>
      <c r="P322" s="37"/>
      <c r="Q322" s="37"/>
      <c r="R322" s="37"/>
      <c r="S322" s="37"/>
      <c r="T322" s="37"/>
      <c r="U322" s="20"/>
      <c r="V322" s="20"/>
    </row>
    <row r="323" spans="10:22" s="31" customFormat="1" ht="15.5" x14ac:dyDescent="0.35">
      <c r="J323" s="20"/>
      <c r="O323" s="37"/>
      <c r="P323" s="37"/>
      <c r="Q323" s="37"/>
      <c r="R323" s="37"/>
      <c r="S323" s="37"/>
      <c r="T323" s="37"/>
      <c r="U323" s="20"/>
      <c r="V323" s="20"/>
    </row>
    <row r="324" spans="10:22" s="31" customFormat="1" ht="15.5" x14ac:dyDescent="0.35">
      <c r="J324" s="20"/>
      <c r="O324" s="37"/>
      <c r="P324" s="37"/>
      <c r="Q324" s="37"/>
      <c r="R324" s="37"/>
      <c r="S324" s="37"/>
      <c r="T324" s="37"/>
      <c r="U324" s="20"/>
      <c r="V324" s="20"/>
    </row>
    <row r="325" spans="10:22" s="31" customFormat="1" ht="15.5" x14ac:dyDescent="0.35">
      <c r="J325" s="20"/>
      <c r="O325" s="37"/>
      <c r="P325" s="37"/>
      <c r="Q325" s="37"/>
      <c r="R325" s="37"/>
      <c r="S325" s="37"/>
      <c r="T325" s="37"/>
      <c r="U325" s="20"/>
      <c r="V325" s="20"/>
    </row>
    <row r="326" spans="10:22" s="31" customFormat="1" ht="15.5" x14ac:dyDescent="0.35">
      <c r="J326" s="20"/>
      <c r="O326" s="37"/>
      <c r="P326" s="37"/>
      <c r="Q326" s="37"/>
      <c r="R326" s="37"/>
      <c r="S326" s="37"/>
      <c r="T326" s="37"/>
      <c r="U326" s="20"/>
      <c r="V326" s="20"/>
    </row>
    <row r="327" spans="10:22" s="31" customFormat="1" ht="15.5" x14ac:dyDescent="0.35">
      <c r="J327" s="20"/>
      <c r="O327" s="37"/>
      <c r="P327" s="37"/>
      <c r="Q327" s="37"/>
      <c r="R327" s="37"/>
      <c r="S327" s="37"/>
      <c r="T327" s="37"/>
      <c r="U327" s="20"/>
      <c r="V327" s="20"/>
    </row>
    <row r="328" spans="10:22" s="31" customFormat="1" ht="15.5" x14ac:dyDescent="0.35">
      <c r="J328" s="20"/>
      <c r="O328" s="37"/>
      <c r="P328" s="37"/>
      <c r="Q328" s="37"/>
      <c r="R328" s="37"/>
      <c r="S328" s="37"/>
      <c r="T328" s="37"/>
      <c r="U328" s="20"/>
      <c r="V328" s="20"/>
    </row>
    <row r="329" spans="10:22" s="31" customFormat="1" ht="15.5" x14ac:dyDescent="0.35">
      <c r="J329" s="20"/>
      <c r="O329" s="37"/>
      <c r="P329" s="37"/>
      <c r="Q329" s="37"/>
      <c r="R329" s="37"/>
      <c r="S329" s="37"/>
      <c r="T329" s="37"/>
      <c r="U329" s="20"/>
      <c r="V329" s="20"/>
    </row>
    <row r="330" spans="10:22" s="31" customFormat="1" ht="15.5" x14ac:dyDescent="0.35">
      <c r="J330" s="20"/>
      <c r="O330" s="37"/>
      <c r="P330" s="37"/>
      <c r="Q330" s="37"/>
      <c r="R330" s="37"/>
      <c r="S330" s="37"/>
      <c r="T330" s="37"/>
      <c r="U330" s="20"/>
      <c r="V330" s="20"/>
    </row>
    <row r="331" spans="10:22" s="31" customFormat="1" ht="15.5" x14ac:dyDescent="0.35">
      <c r="J331" s="20"/>
      <c r="O331" s="37"/>
      <c r="P331" s="37"/>
      <c r="Q331" s="37"/>
      <c r="R331" s="37"/>
      <c r="S331" s="37"/>
      <c r="T331" s="37"/>
      <c r="U331" s="20"/>
      <c r="V331" s="20"/>
    </row>
    <row r="332" spans="10:22" s="31" customFormat="1" ht="15.5" x14ac:dyDescent="0.35">
      <c r="J332" s="20"/>
      <c r="O332" s="37"/>
      <c r="P332" s="37"/>
      <c r="Q332" s="37"/>
      <c r="R332" s="37"/>
      <c r="S332" s="37"/>
      <c r="T332" s="37"/>
      <c r="U332" s="20"/>
      <c r="V332" s="20"/>
    </row>
    <row r="333" spans="10:22" s="31" customFormat="1" ht="15.5" x14ac:dyDescent="0.35">
      <c r="J333" s="20"/>
      <c r="O333" s="37"/>
      <c r="P333" s="37"/>
      <c r="Q333" s="37"/>
      <c r="R333" s="37"/>
      <c r="S333" s="37"/>
      <c r="T333" s="37"/>
      <c r="U333" s="20"/>
      <c r="V333" s="20"/>
    </row>
    <row r="334" spans="10:22" s="31" customFormat="1" ht="15.5" x14ac:dyDescent="0.35">
      <c r="J334" s="20"/>
      <c r="O334" s="37"/>
      <c r="P334" s="37"/>
      <c r="Q334" s="37"/>
      <c r="R334" s="37"/>
      <c r="S334" s="37"/>
      <c r="T334" s="37"/>
      <c r="U334" s="20"/>
      <c r="V334" s="20"/>
    </row>
    <row r="335" spans="10:22" s="31" customFormat="1" ht="15.5" x14ac:dyDescent="0.35">
      <c r="J335" s="20"/>
      <c r="O335" s="37"/>
      <c r="P335" s="37"/>
      <c r="Q335" s="37"/>
      <c r="R335" s="37"/>
      <c r="S335" s="37"/>
      <c r="T335" s="37"/>
      <c r="U335" s="20"/>
      <c r="V335" s="20"/>
    </row>
    <row r="336" spans="10:22" s="31" customFormat="1" ht="15.5" x14ac:dyDescent="0.35">
      <c r="J336" s="20"/>
      <c r="O336" s="37"/>
      <c r="P336" s="37"/>
      <c r="Q336" s="37"/>
      <c r="R336" s="37"/>
      <c r="S336" s="37"/>
      <c r="T336" s="37"/>
      <c r="U336" s="20"/>
      <c r="V336" s="20"/>
    </row>
    <row r="337" spans="10:22" s="31" customFormat="1" ht="15.5" x14ac:dyDescent="0.35">
      <c r="J337" s="20"/>
      <c r="O337" s="37"/>
      <c r="P337" s="37"/>
      <c r="Q337" s="37"/>
      <c r="R337" s="37"/>
      <c r="S337" s="37"/>
      <c r="T337" s="37"/>
      <c r="U337" s="20"/>
      <c r="V337" s="20"/>
    </row>
    <row r="338" spans="10:22" s="31" customFormat="1" ht="15.5" x14ac:dyDescent="0.35">
      <c r="J338" s="20"/>
      <c r="O338" s="37"/>
      <c r="P338" s="37"/>
      <c r="Q338" s="37"/>
      <c r="R338" s="37"/>
      <c r="S338" s="37"/>
      <c r="T338" s="37"/>
      <c r="U338" s="20"/>
      <c r="V338" s="20"/>
    </row>
    <row r="339" spans="10:22" s="31" customFormat="1" ht="15.5" x14ac:dyDescent="0.35">
      <c r="J339" s="20"/>
      <c r="O339" s="37"/>
      <c r="P339" s="37"/>
      <c r="Q339" s="37"/>
      <c r="R339" s="37"/>
      <c r="S339" s="37"/>
      <c r="T339" s="37"/>
      <c r="U339" s="20"/>
      <c r="V339" s="20"/>
    </row>
    <row r="340" spans="10:22" s="31" customFormat="1" ht="15.5" x14ac:dyDescent="0.35">
      <c r="J340" s="20"/>
      <c r="O340" s="37"/>
      <c r="P340" s="37"/>
      <c r="Q340" s="37"/>
      <c r="R340" s="37"/>
      <c r="S340" s="37"/>
      <c r="T340" s="37"/>
      <c r="U340" s="20"/>
      <c r="V340" s="20"/>
    </row>
    <row r="341" spans="10:22" s="31" customFormat="1" ht="15.5" x14ac:dyDescent="0.35">
      <c r="J341" s="20"/>
      <c r="O341" s="37"/>
      <c r="P341" s="37"/>
      <c r="Q341" s="37"/>
      <c r="R341" s="37"/>
      <c r="S341" s="37"/>
      <c r="T341" s="37"/>
      <c r="U341" s="20"/>
      <c r="V341" s="20"/>
    </row>
    <row r="342" spans="10:22" s="31" customFormat="1" ht="15.5" x14ac:dyDescent="0.35">
      <c r="J342" s="20"/>
      <c r="O342" s="37"/>
      <c r="P342" s="37"/>
      <c r="Q342" s="37"/>
      <c r="R342" s="37"/>
      <c r="S342" s="37"/>
      <c r="T342" s="37"/>
      <c r="U342" s="20"/>
      <c r="V342" s="20"/>
    </row>
    <row r="343" spans="10:22" s="31" customFormat="1" ht="15.5" x14ac:dyDescent="0.35">
      <c r="J343" s="20"/>
      <c r="O343" s="37"/>
      <c r="P343" s="37"/>
      <c r="Q343" s="37"/>
      <c r="R343" s="37"/>
      <c r="S343" s="37"/>
      <c r="T343" s="37"/>
      <c r="U343" s="20"/>
      <c r="V343" s="20"/>
    </row>
    <row r="344" spans="10:22" s="31" customFormat="1" ht="15.5" x14ac:dyDescent="0.35">
      <c r="J344" s="20"/>
      <c r="O344" s="37"/>
      <c r="P344" s="37"/>
      <c r="Q344" s="37"/>
      <c r="R344" s="37"/>
      <c r="S344" s="37"/>
      <c r="T344" s="37"/>
      <c r="U344" s="20"/>
      <c r="V344" s="20"/>
    </row>
    <row r="345" spans="10:22" s="31" customFormat="1" ht="15.5" x14ac:dyDescent="0.35">
      <c r="J345" s="20"/>
      <c r="O345" s="37"/>
      <c r="P345" s="37"/>
      <c r="Q345" s="37"/>
      <c r="R345" s="37"/>
      <c r="S345" s="37"/>
      <c r="T345" s="37"/>
      <c r="U345" s="20"/>
      <c r="V345" s="20"/>
    </row>
    <row r="346" spans="10:22" s="31" customFormat="1" ht="15.5" x14ac:dyDescent="0.35">
      <c r="J346" s="20"/>
      <c r="O346" s="37"/>
      <c r="P346" s="37"/>
      <c r="Q346" s="37"/>
      <c r="R346" s="37"/>
      <c r="S346" s="37"/>
      <c r="T346" s="37"/>
      <c r="U346" s="20"/>
      <c r="V346" s="20"/>
    </row>
    <row r="347" spans="10:22" s="31" customFormat="1" ht="15.5" x14ac:dyDescent="0.35">
      <c r="J347" s="20"/>
      <c r="O347" s="37"/>
      <c r="P347" s="37"/>
      <c r="Q347" s="37"/>
      <c r="R347" s="37"/>
      <c r="S347" s="37"/>
      <c r="T347" s="37"/>
      <c r="U347" s="20"/>
      <c r="V347" s="20"/>
    </row>
    <row r="348" spans="10:22" s="31" customFormat="1" ht="15.5" x14ac:dyDescent="0.35">
      <c r="J348" s="20"/>
      <c r="O348" s="37"/>
      <c r="P348" s="37"/>
      <c r="Q348" s="37"/>
      <c r="R348" s="37"/>
      <c r="S348" s="37"/>
      <c r="T348" s="37"/>
      <c r="U348" s="20"/>
      <c r="V348" s="20"/>
    </row>
    <row r="349" spans="10:22" s="31" customFormat="1" ht="15.5" x14ac:dyDescent="0.35">
      <c r="J349" s="20"/>
      <c r="O349" s="37"/>
      <c r="P349" s="37"/>
      <c r="Q349" s="37"/>
      <c r="R349" s="37"/>
      <c r="S349" s="37"/>
      <c r="T349" s="37"/>
      <c r="U349" s="20"/>
      <c r="V349" s="20"/>
    </row>
    <row r="350" spans="10:22" s="31" customFormat="1" ht="15.5" x14ac:dyDescent="0.35">
      <c r="J350" s="20"/>
      <c r="O350" s="37"/>
      <c r="P350" s="37"/>
      <c r="Q350" s="37"/>
      <c r="R350" s="37"/>
      <c r="S350" s="37"/>
      <c r="T350" s="37"/>
      <c r="U350" s="20"/>
      <c r="V350" s="20"/>
    </row>
    <row r="351" spans="10:22" s="31" customFormat="1" ht="15.5" x14ac:dyDescent="0.35">
      <c r="J351" s="20"/>
      <c r="O351" s="37"/>
      <c r="P351" s="37"/>
      <c r="Q351" s="37"/>
      <c r="R351" s="37"/>
      <c r="S351" s="37"/>
      <c r="T351" s="37"/>
      <c r="U351" s="20"/>
      <c r="V351" s="20"/>
    </row>
    <row r="352" spans="10:22" s="31" customFormat="1" ht="15.5" x14ac:dyDescent="0.35">
      <c r="J352" s="20"/>
      <c r="O352" s="20"/>
      <c r="P352" s="20"/>
      <c r="Q352" s="20"/>
      <c r="R352" s="20"/>
      <c r="S352" s="20"/>
      <c r="T352" s="20"/>
      <c r="U352" s="20"/>
      <c r="V352" s="20"/>
    </row>
    <row r="353" spans="10:22" s="31" customFormat="1" ht="15.5" x14ac:dyDescent="0.35">
      <c r="J353" s="20"/>
      <c r="O353" s="20"/>
      <c r="P353" s="20"/>
      <c r="Q353" s="20"/>
      <c r="R353" s="20"/>
      <c r="S353" s="20"/>
      <c r="T353" s="20"/>
      <c r="U353" s="20"/>
      <c r="V353" s="20"/>
    </row>
    <row r="354" spans="10:22" s="31" customFormat="1" ht="15.5" x14ac:dyDescent="0.35">
      <c r="J354" s="20"/>
      <c r="O354" s="20"/>
      <c r="P354" s="20"/>
      <c r="Q354" s="20"/>
      <c r="R354" s="20"/>
      <c r="S354" s="20"/>
      <c r="T354" s="20"/>
      <c r="U354" s="20"/>
      <c r="V354" s="20"/>
    </row>
    <row r="355" spans="10:22" s="31" customFormat="1" ht="15.5" x14ac:dyDescent="0.35">
      <c r="J355" s="20"/>
      <c r="O355" s="20"/>
      <c r="P355" s="20"/>
      <c r="Q355" s="20"/>
      <c r="R355" s="20"/>
      <c r="S355" s="20"/>
      <c r="T355" s="20"/>
      <c r="U355" s="20"/>
      <c r="V355"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05BF-BE41-4028-AAA1-BA202ECD643A}">
  <sheetPr>
    <tabColor theme="9" tint="-0.499984740745262"/>
  </sheetPr>
  <dimension ref="A1:S57"/>
  <sheetViews>
    <sheetView showGridLines="0" zoomScaleNormal="100" zoomScaleSheetLayoutView="130" workbookViewId="0">
      <selection activeCell="I34" sqref="I34"/>
    </sheetView>
  </sheetViews>
  <sheetFormatPr defaultRowHeight="14.5" x14ac:dyDescent="0.35"/>
  <cols>
    <col min="1" max="1" width="13" customWidth="1"/>
    <col min="2" max="2" width="25.54296875" bestFit="1" customWidth="1"/>
    <col min="3" max="3" width="15.453125" bestFit="1" customWidth="1"/>
    <col min="4" max="4" width="1.26953125" customWidth="1"/>
    <col min="5" max="6" width="15.7265625" bestFit="1" customWidth="1"/>
    <col min="7" max="7" width="1.26953125" customWidth="1"/>
    <col min="8" max="8" width="15.7265625" bestFit="1" customWidth="1"/>
    <col min="9" max="9" width="13.54296875" customWidth="1"/>
    <col min="10" max="10" width="2.7265625" customWidth="1"/>
    <col min="11" max="11" width="12.81640625" bestFit="1" customWidth="1"/>
    <col min="12" max="12" width="15.26953125" bestFit="1" customWidth="1"/>
    <col min="13" max="13" width="16.81640625" bestFit="1" customWidth="1"/>
    <col min="14" max="14" width="20.453125" bestFit="1" customWidth="1"/>
    <col min="15" max="15" width="16.81640625" bestFit="1" customWidth="1"/>
    <col min="16" max="16" width="12.1796875" bestFit="1" customWidth="1"/>
    <col min="17" max="17" width="11.1796875" bestFit="1" customWidth="1"/>
    <col min="18" max="18" width="16.81640625" bestFit="1" customWidth="1"/>
    <col min="19" max="19" width="15.1796875" bestFit="1" customWidth="1"/>
  </cols>
  <sheetData>
    <row r="1" spans="1:13" ht="18.5" x14ac:dyDescent="0.45">
      <c r="A1" s="531" t="s">
        <v>665</v>
      </c>
      <c r="B1" s="523" t="s">
        <v>653</v>
      </c>
      <c r="C1" s="26"/>
      <c r="D1" s="26"/>
      <c r="E1" s="26"/>
      <c r="F1" s="26"/>
      <c r="G1" s="26"/>
      <c r="H1" s="26"/>
      <c r="I1" s="26"/>
      <c r="J1" s="26"/>
    </row>
    <row r="2" spans="1:13" ht="15.5" x14ac:dyDescent="0.35">
      <c r="B2" s="523" t="s">
        <v>111</v>
      </c>
      <c r="C2" s="26"/>
      <c r="D2" s="26"/>
      <c r="E2" s="26"/>
      <c r="F2" s="26"/>
      <c r="G2" s="26"/>
      <c r="H2" s="26"/>
      <c r="I2" s="26"/>
      <c r="J2" s="26"/>
    </row>
    <row r="3" spans="1:13" ht="15.5" x14ac:dyDescent="0.35">
      <c r="B3" s="523" t="s">
        <v>654</v>
      </c>
      <c r="C3" s="26"/>
      <c r="D3" s="26"/>
      <c r="E3" s="26"/>
      <c r="F3" s="26"/>
      <c r="G3" s="26"/>
      <c r="H3" s="26"/>
      <c r="I3" s="26"/>
      <c r="J3" s="26"/>
    </row>
    <row r="4" spans="1:13" ht="15.5" x14ac:dyDescent="0.35">
      <c r="B4" s="523" t="s">
        <v>655</v>
      </c>
      <c r="C4" s="26"/>
      <c r="D4" s="26"/>
      <c r="E4" s="26"/>
      <c r="F4" s="26"/>
      <c r="G4" s="26"/>
      <c r="H4" s="26"/>
      <c r="I4" s="26"/>
      <c r="J4" s="26"/>
    </row>
    <row r="6" spans="1:13" ht="16" thickBot="1" x14ac:dyDescent="0.4">
      <c r="E6" s="541" t="s">
        <v>647</v>
      </c>
      <c r="F6" s="541"/>
      <c r="H6" s="541" t="s">
        <v>649</v>
      </c>
      <c r="I6" s="541"/>
    </row>
    <row r="7" spans="1:13" ht="33.75" customHeight="1" x14ac:dyDescent="0.35">
      <c r="B7" s="503" t="s">
        <v>644</v>
      </c>
      <c r="C7" s="535" t="s">
        <v>625</v>
      </c>
      <c r="D7" s="42"/>
      <c r="E7" s="536" t="s">
        <v>651</v>
      </c>
      <c r="F7" s="536" t="s">
        <v>130</v>
      </c>
      <c r="G7" s="42"/>
      <c r="H7" s="536" t="s">
        <v>651</v>
      </c>
      <c r="I7" s="536" t="s">
        <v>130</v>
      </c>
      <c r="J7" s="31"/>
      <c r="L7" s="31"/>
      <c r="M7" s="421" t="s">
        <v>623</v>
      </c>
    </row>
    <row r="8" spans="1:13" ht="16" thickBot="1" x14ac:dyDescent="0.4">
      <c r="B8" s="500" t="s">
        <v>645</v>
      </c>
      <c r="C8" s="478">
        <f>+'RRC Incremental Incr (RRC-1_p2)'!C19</f>
        <v>86519724</v>
      </c>
      <c r="D8" s="472"/>
      <c r="E8" s="478">
        <f>+'RRC Incremental Incr (RRC-1_p2)'!E19</f>
        <v>129828357</v>
      </c>
      <c r="F8" s="478">
        <f>+'RRC Incremental Incr (RRC-1_p2)'!F19</f>
        <v>43308633</v>
      </c>
      <c r="G8" s="472"/>
      <c r="H8" s="447">
        <f>+E8/M8</f>
        <v>6.6550000191604713E-3</v>
      </c>
      <c r="I8" s="447">
        <f>+H8-'RRC Component Rates (RRC-1 p1)'!C21</f>
        <v>2.2200000191604707E-3</v>
      </c>
      <c r="J8" s="472"/>
      <c r="K8" s="479">
        <f>+E8/M8</f>
        <v>6.6550000191604713E-3</v>
      </c>
      <c r="M8" s="448">
        <f>+'RRC Incremental Incr (RRC-1_p2)'!I30</f>
        <v>19508393182</v>
      </c>
    </row>
    <row r="9" spans="1:13" ht="16.5" thickTop="1" thickBot="1" x14ac:dyDescent="0.4">
      <c r="E9" s="505"/>
      <c r="F9" s="505"/>
      <c r="H9" s="506"/>
      <c r="I9" s="506"/>
      <c r="K9" s="479">
        <f>+C8/M8</f>
        <v>4.4350000121911627E-3</v>
      </c>
      <c r="L9" s="479">
        <f>+K8-K9</f>
        <v>2.2200000069693086E-3</v>
      </c>
    </row>
    <row r="10" spans="1:13" ht="33.75" customHeight="1" thickTop="1" x14ac:dyDescent="0.35">
      <c r="B10" s="503" t="s">
        <v>644</v>
      </c>
      <c r="C10" s="535" t="str">
        <f>+E7</f>
        <v>2023 Amended RRC Filing</v>
      </c>
      <c r="D10" s="42"/>
      <c r="E10" s="536" t="s">
        <v>650</v>
      </c>
      <c r="F10" s="536" t="s">
        <v>130</v>
      </c>
      <c r="G10" s="42"/>
      <c r="H10" s="536" t="s">
        <v>650</v>
      </c>
      <c r="I10" s="536" t="s">
        <v>130</v>
      </c>
      <c r="J10" s="31"/>
      <c r="M10" s="421" t="s">
        <v>623</v>
      </c>
    </row>
    <row r="11" spans="1:13" ht="16" thickBot="1" x14ac:dyDescent="0.4">
      <c r="B11" s="500" t="s">
        <v>646</v>
      </c>
      <c r="C11" s="478">
        <f>+E8</f>
        <v>129828357</v>
      </c>
      <c r="D11" s="472"/>
      <c r="E11" s="478">
        <f>+'RRC Incremental Incr (RRC-1_p2)'!E30</f>
        <v>191689470</v>
      </c>
      <c r="F11" s="478">
        <f>+'RRC Incremental Incr (RRC-1_p2)'!F30</f>
        <v>61861113</v>
      </c>
      <c r="G11" s="472"/>
      <c r="H11" s="447">
        <f>+E11/M11</f>
        <v>9.8259999279114388E-3</v>
      </c>
      <c r="I11" s="447">
        <f>+H11-H8</f>
        <v>3.1709999087509676E-3</v>
      </c>
      <c r="J11" s="472"/>
      <c r="K11" s="479">
        <f>+E11/M11</f>
        <v>9.8259999279114388E-3</v>
      </c>
      <c r="M11" s="448">
        <f>+'RRC Incremental Incr (RRC-1_p2)'!I30</f>
        <v>19508393182</v>
      </c>
    </row>
    <row r="12" spans="1:13" ht="16.5" thickTop="1" thickBot="1" x14ac:dyDescent="0.4">
      <c r="E12" s="505"/>
      <c r="F12" s="505"/>
      <c r="H12" s="529"/>
      <c r="I12" s="506"/>
      <c r="K12" s="479">
        <f>+C11/M11</f>
        <v>6.6550000191604713E-3</v>
      </c>
      <c r="L12" s="479">
        <f>+K11-K12</f>
        <v>3.1709999087509676E-3</v>
      </c>
    </row>
    <row r="13" spans="1:13" ht="33.75" customHeight="1" thickTop="1" x14ac:dyDescent="0.35">
      <c r="B13" s="503" t="s">
        <v>644</v>
      </c>
      <c r="C13" s="535" t="str">
        <f>+E10</f>
        <v>2024 Amended RRC Filing</v>
      </c>
      <c r="D13" s="42"/>
      <c r="E13" s="536" t="s">
        <v>652</v>
      </c>
      <c r="F13" s="536" t="s">
        <v>130</v>
      </c>
      <c r="G13" s="42"/>
      <c r="H13" s="536" t="s">
        <v>652</v>
      </c>
      <c r="I13" s="536" t="s">
        <v>130</v>
      </c>
      <c r="J13" s="31"/>
      <c r="L13" s="530">
        <f>+K14-K9</f>
        <v>1.2315999964752355E-2</v>
      </c>
      <c r="M13" s="421" t="s">
        <v>623</v>
      </c>
    </row>
    <row r="14" spans="1:13" ht="16" thickBot="1" x14ac:dyDescent="0.4">
      <c r="B14" s="500" t="s">
        <v>111</v>
      </c>
      <c r="C14" s="478">
        <f>+E11</f>
        <v>191689470</v>
      </c>
      <c r="D14" s="472"/>
      <c r="E14" s="478">
        <f>+'RRC Incremental Incr (RRC-1_p2)'!E41</f>
        <v>328220769</v>
      </c>
      <c r="F14" s="478">
        <f>+'RRC Incremental Incr (RRC-1_p2)'!F41</f>
        <v>136531299</v>
      </c>
      <c r="G14" s="472"/>
      <c r="H14" s="447">
        <f>+E14/M14</f>
        <v>1.6750999976943518E-2</v>
      </c>
      <c r="I14" s="447">
        <f>+H14-H11</f>
        <v>6.9250000490320793E-3</v>
      </c>
      <c r="J14" s="472"/>
      <c r="K14" s="479">
        <f>+E14/M14</f>
        <v>1.6750999976943518E-2</v>
      </c>
      <c r="L14" s="530">
        <f>+L9+L12+L15</f>
        <v>1.2358980014508809E-2</v>
      </c>
      <c r="M14" s="448">
        <v>19594100021</v>
      </c>
    </row>
    <row r="15" spans="1:13" ht="16.5" thickTop="1" thickBot="1" x14ac:dyDescent="0.4">
      <c r="E15" s="527"/>
      <c r="F15" s="528"/>
      <c r="H15" s="506"/>
      <c r="I15" s="506"/>
      <c r="K15" s="479">
        <f>+C14/M14</f>
        <v>9.7830198781549849E-3</v>
      </c>
      <c r="L15" s="479">
        <f>+K14-K15</f>
        <v>6.9679800987885333E-3</v>
      </c>
    </row>
    <row r="16" spans="1:13" ht="33.75" customHeight="1" thickTop="1" x14ac:dyDescent="0.35">
      <c r="B16" s="524" t="s">
        <v>644</v>
      </c>
      <c r="C16" s="534" t="str">
        <f>+C7</f>
        <v>Current Rider RRC Revenues</v>
      </c>
      <c r="D16" s="42"/>
      <c r="E16" s="534" t="s">
        <v>652</v>
      </c>
      <c r="F16" s="534" t="s">
        <v>130</v>
      </c>
      <c r="G16" s="42"/>
      <c r="H16" s="534" t="s">
        <v>652</v>
      </c>
      <c r="I16" s="534" t="s">
        <v>648</v>
      </c>
      <c r="J16" s="31"/>
      <c r="L16" s="13"/>
      <c r="M16" s="421" t="s">
        <v>623</v>
      </c>
    </row>
    <row r="17" spans="2:19" ht="16" thickBot="1" x14ac:dyDescent="0.4">
      <c r="B17" s="525" t="s">
        <v>675</v>
      </c>
      <c r="C17" s="526">
        <f>+C8</f>
        <v>86519724</v>
      </c>
      <c r="D17" s="472"/>
      <c r="E17" s="526">
        <f>+E14</f>
        <v>328220769</v>
      </c>
      <c r="F17" s="526">
        <f>+F8+F11+F14</f>
        <v>241701045</v>
      </c>
      <c r="G17" s="472"/>
      <c r="H17" s="447">
        <f>+E17/M17</f>
        <v>1.6750999976943518E-2</v>
      </c>
      <c r="I17" s="447">
        <f>I8+I11+I14</f>
        <v>1.2315999976943517E-2</v>
      </c>
      <c r="J17" s="472"/>
      <c r="K17" s="479">
        <f>+E17/M17</f>
        <v>1.6750999976943518E-2</v>
      </c>
      <c r="M17" s="448">
        <f>+M14</f>
        <v>19594100021</v>
      </c>
    </row>
    <row r="18" spans="2:19" ht="16.5" thickTop="1" thickBot="1" x14ac:dyDescent="0.4">
      <c r="B18" s="517"/>
      <c r="C18" s="518"/>
      <c r="D18" s="472"/>
      <c r="E18" s="518"/>
      <c r="K18" s="479">
        <f>+C17/M17</f>
        <v>4.4156008138813412E-3</v>
      </c>
      <c r="L18" s="479">
        <f>+K17-K18</f>
        <v>1.2335399163062177E-2</v>
      </c>
      <c r="M18" s="519"/>
    </row>
    <row r="19" spans="2:19" ht="16.5" thickTop="1" thickBot="1" x14ac:dyDescent="0.4">
      <c r="F19" s="520">
        <f>+E17-C17</f>
        <v>241701045</v>
      </c>
      <c r="G19" s="472"/>
      <c r="H19" s="521">
        <f>(E17/M17)-H17</f>
        <v>0</v>
      </c>
      <c r="I19" s="521">
        <f>+I8+I11+I14-I17</f>
        <v>0</v>
      </c>
      <c r="J19" s="472"/>
      <c r="L19" s="479">
        <f>ROUND(L18-L14,6)</f>
        <v>-2.4000000000000001E-5</v>
      </c>
    </row>
    <row r="20" spans="2:19" ht="16.5" thickTop="1" thickBot="1" x14ac:dyDescent="0.4">
      <c r="F20" s="422">
        <f>+F17-F19</f>
        <v>0</v>
      </c>
      <c r="L20" s="526">
        <f>+M17-M8</f>
        <v>85706839</v>
      </c>
    </row>
    <row r="21" spans="2:19" ht="16.5" thickTop="1" thickBot="1" x14ac:dyDescent="0.4">
      <c r="L21" s="526">
        <f>+L19*L20</f>
        <v>-2056.9641360000001</v>
      </c>
    </row>
    <row r="22" spans="2:19" ht="15" thickTop="1" x14ac:dyDescent="0.35"/>
    <row r="23" spans="2:19" ht="18.5" x14ac:dyDescent="0.45">
      <c r="N23" s="531" t="s">
        <v>666</v>
      </c>
    </row>
    <row r="24" spans="2:19" ht="15.5" x14ac:dyDescent="0.35">
      <c r="N24" s="492" t="s">
        <v>109</v>
      </c>
      <c r="O24" s="493"/>
      <c r="P24" s="493"/>
      <c r="Q24" s="493"/>
      <c r="R24" s="493"/>
      <c r="S24" s="493"/>
    </row>
    <row r="25" spans="2:19" ht="15.5" x14ac:dyDescent="0.35">
      <c r="N25" s="490" t="s">
        <v>111</v>
      </c>
      <c r="O25" s="493"/>
      <c r="P25" s="493"/>
      <c r="Q25" s="493"/>
      <c r="R25" s="493"/>
      <c r="S25" s="493"/>
    </row>
    <row r="26" spans="2:19" ht="15.5" x14ac:dyDescent="0.35">
      <c r="N26" s="490" t="s">
        <v>113</v>
      </c>
      <c r="O26" s="493"/>
      <c r="P26" s="493"/>
      <c r="Q26" s="493"/>
      <c r="R26" s="493"/>
      <c r="S26" s="493"/>
    </row>
    <row r="27" spans="2:19" ht="15.5" x14ac:dyDescent="0.35">
      <c r="N27" s="490" t="s">
        <v>115</v>
      </c>
      <c r="O27" s="493"/>
      <c r="P27" s="493"/>
      <c r="Q27" s="493"/>
      <c r="R27" s="493"/>
      <c r="S27" s="493"/>
    </row>
    <row r="28" spans="2:19" ht="15.5" x14ac:dyDescent="0.35">
      <c r="N28" s="490" t="s">
        <v>664</v>
      </c>
      <c r="O28" s="493"/>
      <c r="P28" s="493"/>
      <c r="Q28" s="493"/>
      <c r="R28" s="493"/>
      <c r="S28" s="493"/>
    </row>
    <row r="29" spans="2:19" ht="15.5" x14ac:dyDescent="0.35">
      <c r="N29" s="480"/>
      <c r="O29" s="480"/>
      <c r="P29" s="480"/>
      <c r="Q29" s="480"/>
      <c r="R29" s="539"/>
      <c r="S29" s="539"/>
    </row>
    <row r="30" spans="2:19" ht="15.5" x14ac:dyDescent="0.35">
      <c r="N30" s="240" t="s">
        <v>658</v>
      </c>
      <c r="O30" s="540" t="str">
        <f>+C13&amp;"**"</f>
        <v>2024 Amended RRC Filing**</v>
      </c>
      <c r="P30" s="540"/>
      <c r="Q30" s="482"/>
      <c r="R30" s="540" t="s">
        <v>662</v>
      </c>
      <c r="S30" s="540"/>
    </row>
    <row r="31" spans="2:19" ht="15.5" x14ac:dyDescent="0.35">
      <c r="N31" s="481" t="s">
        <v>659</v>
      </c>
      <c r="O31" s="484" t="s">
        <v>124</v>
      </c>
      <c r="P31" s="484" t="s">
        <v>125</v>
      </c>
      <c r="Q31" s="482"/>
      <c r="R31" s="484" t="s">
        <v>124</v>
      </c>
      <c r="S31" s="484" t="s">
        <v>125</v>
      </c>
    </row>
    <row r="32" spans="2:19" ht="15.5" x14ac:dyDescent="0.35">
      <c r="N32" s="485" t="s">
        <v>105</v>
      </c>
      <c r="O32" s="409">
        <f t="shared" ref="O32:O37" si="0">+O43/O$55</f>
        <v>-1.2999999417378976E-4</v>
      </c>
      <c r="P32" s="409">
        <f>ROUND(O32*1.06625,6)</f>
        <v>-1.3899999999999999E-4</v>
      </c>
      <c r="Q32" s="482"/>
      <c r="R32" s="409">
        <f t="shared" ref="R32:R37" si="1">+R43/R$55</f>
        <v>-1.0600002030070274E-4</v>
      </c>
      <c r="S32" s="409">
        <f t="shared" ref="S32:S37" si="2">ROUND(R32*1.06625,6)</f>
        <v>-1.13E-4</v>
      </c>
    </row>
    <row r="33" spans="14:19" ht="15.5" x14ac:dyDescent="0.35">
      <c r="N33" s="485" t="s">
        <v>107</v>
      </c>
      <c r="O33" s="410">
        <f t="shared" si="0"/>
        <v>2.4919999585027845E-3</v>
      </c>
      <c r="P33" s="410">
        <f>ROUND(O33*1.06625,6)</f>
        <v>2.6570000000000001E-3</v>
      </c>
      <c r="Q33" s="482"/>
      <c r="R33" s="410">
        <f t="shared" si="1"/>
        <v>4.2529999801311112E-3</v>
      </c>
      <c r="S33" s="410">
        <f t="shared" si="2"/>
        <v>4.535E-3</v>
      </c>
    </row>
    <row r="34" spans="14:19" ht="15.5" x14ac:dyDescent="0.35">
      <c r="N34" s="488" t="s">
        <v>126</v>
      </c>
      <c r="O34" s="410">
        <f t="shared" si="0"/>
        <v>1.3409999868230049E-3</v>
      </c>
      <c r="P34" s="410">
        <f>ROUND(O34*1.06625,6)</f>
        <v>1.4300000000000001E-3</v>
      </c>
      <c r="Q34" s="482"/>
      <c r="R34" s="410">
        <f t="shared" si="1"/>
        <v>3.769999995959498E-3</v>
      </c>
      <c r="S34" s="410">
        <f t="shared" si="2"/>
        <v>4.0200000000000001E-3</v>
      </c>
    </row>
    <row r="35" spans="14:19" ht="15.5" x14ac:dyDescent="0.35">
      <c r="N35" s="488" t="s">
        <v>127</v>
      </c>
      <c r="O35" s="410">
        <f t="shared" si="0"/>
        <v>5.9200001211047969E-4</v>
      </c>
      <c r="P35" s="410">
        <f>+O35</f>
        <v>5.9200001211047969E-4</v>
      </c>
      <c r="Q35" s="482"/>
      <c r="R35" s="410">
        <f t="shared" si="1"/>
        <v>1.0780000090518064E-3</v>
      </c>
      <c r="S35" s="410">
        <f t="shared" si="2"/>
        <v>1.1490000000000001E-3</v>
      </c>
    </row>
    <row r="36" spans="14:19" ht="15.5" x14ac:dyDescent="0.35">
      <c r="N36" s="488" t="s">
        <v>112</v>
      </c>
      <c r="O36" s="410">
        <f t="shared" si="0"/>
        <v>2.7629999814507531E-3</v>
      </c>
      <c r="P36" s="410">
        <f>ROUND(O36*1.06625,6)</f>
        <v>2.9459999999999998E-3</v>
      </c>
      <c r="Q36" s="482"/>
      <c r="R36" s="410">
        <f t="shared" si="1"/>
        <v>4.0970000109197668E-3</v>
      </c>
      <c r="S36" s="410">
        <f t="shared" si="2"/>
        <v>4.3680000000000004E-3</v>
      </c>
    </row>
    <row r="37" spans="14:19" ht="15.5" x14ac:dyDescent="0.35">
      <c r="N37" s="488" t="s">
        <v>114</v>
      </c>
      <c r="O37" s="410">
        <f t="shared" si="0"/>
        <v>2.7679999831982062E-3</v>
      </c>
      <c r="P37" s="410">
        <f>ROUND(O37*1.06625,6)</f>
        <v>2.9510000000000001E-3</v>
      </c>
      <c r="Q37" s="482"/>
      <c r="R37" s="410">
        <f t="shared" si="1"/>
        <v>3.6590000011820396E-3</v>
      </c>
      <c r="S37" s="410">
        <f t="shared" si="2"/>
        <v>3.901E-3</v>
      </c>
    </row>
    <row r="38" spans="14:19" ht="16" thickBot="1" x14ac:dyDescent="0.4">
      <c r="N38" s="489" t="s">
        <v>128</v>
      </c>
      <c r="O38" s="479">
        <f>SUM(O32:O37)</f>
        <v>9.8259999279114371E-3</v>
      </c>
      <c r="P38" s="479">
        <f>SUM(P32:P37)</f>
        <v>1.0437000012110479E-2</v>
      </c>
      <c r="Q38" s="482"/>
      <c r="R38" s="479">
        <f>SUM(R32:R37)</f>
        <v>1.6750999976943522E-2</v>
      </c>
      <c r="S38" s="479">
        <f>SUM(S32:S37)</f>
        <v>1.7860000000000001E-2</v>
      </c>
    </row>
    <row r="39" spans="14:19" ht="16" thickTop="1" x14ac:dyDescent="0.35">
      <c r="N39" s="4"/>
      <c r="O39" s="158"/>
      <c r="P39" s="158"/>
      <c r="Q39" s="4"/>
      <c r="R39" s="158"/>
      <c r="S39" s="158"/>
    </row>
    <row r="40" spans="14:19" ht="15.5" x14ac:dyDescent="0.35">
      <c r="N40" s="489"/>
      <c r="O40" s="494"/>
      <c r="P40" s="494"/>
      <c r="Q40" s="489"/>
      <c r="R40" s="494"/>
      <c r="S40" s="494"/>
    </row>
    <row r="41" spans="14:19" ht="15.5" x14ac:dyDescent="0.35">
      <c r="N41" s="482"/>
      <c r="O41" s="495"/>
      <c r="P41" s="495"/>
      <c r="Q41" s="482"/>
      <c r="R41" s="496" t="s">
        <v>656</v>
      </c>
      <c r="S41" s="496"/>
    </row>
    <row r="42" spans="14:19" ht="30.5" x14ac:dyDescent="0.35">
      <c r="N42" s="504" t="s">
        <v>660</v>
      </c>
      <c r="O42" s="501" t="str">
        <f>+O30</f>
        <v>2024 Amended RRC Filing**</v>
      </c>
      <c r="P42" s="482"/>
      <c r="R42" s="501" t="s">
        <v>663</v>
      </c>
      <c r="S42" s="497" t="s">
        <v>130</v>
      </c>
    </row>
    <row r="43" spans="14:19" ht="15.5" x14ac:dyDescent="0.35">
      <c r="N43" s="488" t="s">
        <v>105</v>
      </c>
      <c r="O43" s="413">
        <f>+'RRC Incremental Incr (RRC-1_p2)'!E24</f>
        <v>-2536091</v>
      </c>
      <c r="P43" s="482"/>
      <c r="R43" s="413">
        <f>+'RRC Incremental Incr (RRC-1_p2)'!E35</f>
        <v>-2076975</v>
      </c>
      <c r="S43" s="413">
        <f t="shared" ref="S43:S47" si="3">R43-O43</f>
        <v>459116</v>
      </c>
    </row>
    <row r="44" spans="14:19" ht="15.5" x14ac:dyDescent="0.35">
      <c r="N44" s="488" t="s">
        <v>107</v>
      </c>
      <c r="O44" s="411">
        <f>+'RRC Incremental Incr (RRC-1_p2)'!E25</f>
        <v>48614915</v>
      </c>
      <c r="P44" s="482"/>
      <c r="R44" s="411">
        <f>+'RRC Incremental Incr (RRC-1_p2)'!E36</f>
        <v>83333707</v>
      </c>
      <c r="S44" s="411">
        <f t="shared" si="3"/>
        <v>34718792</v>
      </c>
    </row>
    <row r="45" spans="14:19" ht="15.5" x14ac:dyDescent="0.35">
      <c r="N45" s="485" t="s">
        <v>126</v>
      </c>
      <c r="O45" s="411">
        <f>+'RRC Incremental Incr (RRC-1_p2)'!E26</f>
        <v>26160755</v>
      </c>
      <c r="P45" s="482"/>
      <c r="R45" s="411">
        <f>+'RRC Incremental Incr (RRC-1_p2)'!E37</f>
        <v>73869757</v>
      </c>
      <c r="S45" s="411">
        <f t="shared" si="3"/>
        <v>47709002</v>
      </c>
    </row>
    <row r="46" spans="14:19" ht="15.5" x14ac:dyDescent="0.35">
      <c r="N46" s="488" t="s">
        <v>127</v>
      </c>
      <c r="O46" s="411">
        <f>+'RRC Incremental Incr (RRC-1_p2)'!E27</f>
        <v>11548969</v>
      </c>
      <c r="P46" s="482"/>
      <c r="R46" s="411">
        <f>+'RRC Incremental Incr (RRC-1_p2)'!E38</f>
        <v>21122440</v>
      </c>
      <c r="S46" s="411">
        <f t="shared" si="3"/>
        <v>9573471</v>
      </c>
    </row>
    <row r="47" spans="14:19" ht="15.5" x14ac:dyDescent="0.35">
      <c r="N47" s="488" t="s">
        <v>112</v>
      </c>
      <c r="O47" s="411">
        <f>+'RRC Incremental Incr (RRC-1_p2)'!E28</f>
        <v>53901690</v>
      </c>
      <c r="P47" s="482"/>
      <c r="R47" s="411">
        <f>+'RRC Incremental Incr (RRC-1_p2)'!E39</f>
        <v>80277028</v>
      </c>
      <c r="S47" s="411">
        <f t="shared" si="3"/>
        <v>26375338</v>
      </c>
    </row>
    <row r="48" spans="14:19" ht="15.5" x14ac:dyDescent="0.35">
      <c r="N48" s="488" t="s">
        <v>114</v>
      </c>
      <c r="O48" s="411">
        <f>+'RRC Incremental Incr (RRC-1_p2)'!E29</f>
        <v>53999232</v>
      </c>
      <c r="P48" s="482"/>
      <c r="R48" s="411">
        <f>+'RRC Incremental Incr (RRC-1_p2)'!E40</f>
        <v>71694812</v>
      </c>
      <c r="S48" s="411">
        <f>R48-O48</f>
        <v>17695580</v>
      </c>
    </row>
    <row r="49" spans="14:19" ht="16" thickBot="1" x14ac:dyDescent="0.4">
      <c r="N49" s="489" t="s">
        <v>128</v>
      </c>
      <c r="O49" s="499">
        <f>SUM(O43:O48)</f>
        <v>191689470</v>
      </c>
      <c r="P49" s="489"/>
      <c r="Q49" s="498"/>
      <c r="R49" s="499">
        <f>SUM(R43:R48)</f>
        <v>328220769</v>
      </c>
      <c r="S49" s="499">
        <f>SUM(S43:S48)</f>
        <v>136531299</v>
      </c>
    </row>
    <row r="50" spans="14:19" ht="15" thickTop="1" x14ac:dyDescent="0.35"/>
    <row r="51" spans="14:19" x14ac:dyDescent="0.35">
      <c r="N51" s="502" t="s">
        <v>661</v>
      </c>
    </row>
    <row r="52" spans="14:19" x14ac:dyDescent="0.35">
      <c r="N52" s="502" t="str">
        <f>"** Calculation Based on Forecast kWh of "&amp;RIGHT(DOLLAR(O55,0),14)</f>
        <v>** Calculation Based on Forecast kWh of 19,508,393,182</v>
      </c>
    </row>
    <row r="53" spans="14:19" x14ac:dyDescent="0.35">
      <c r="N53" s="502" t="str">
        <f>"*** Calculation Based on Forecast kWh of "&amp;RIGHT(DOLLAR(R55,0),14)</f>
        <v>*** Calculation Based on Forecast kWh of 19,594,100,021</v>
      </c>
    </row>
    <row r="54" spans="14:19" x14ac:dyDescent="0.35">
      <c r="N54" s="502"/>
    </row>
    <row r="55" spans="14:19" ht="15" thickBot="1" x14ac:dyDescent="0.4">
      <c r="N55" s="532" t="s">
        <v>623</v>
      </c>
      <c r="O55" s="532">
        <f>+M11</f>
        <v>19508393182</v>
      </c>
      <c r="P55" s="480"/>
      <c r="Q55" s="480"/>
      <c r="R55" s="532">
        <f>+M14</f>
        <v>19594100021</v>
      </c>
    </row>
    <row r="56" spans="14:19" ht="15.5" thickTop="1" thickBot="1" x14ac:dyDescent="0.4">
      <c r="N56" s="480"/>
      <c r="O56" s="533">
        <f>+O49/O55</f>
        <v>9.8259999279114388E-3</v>
      </c>
      <c r="P56" s="480"/>
      <c r="Q56" s="480"/>
      <c r="R56" s="533">
        <f>+R49/R55</f>
        <v>1.6750999976943518E-2</v>
      </c>
    </row>
    <row r="57" spans="14:19" ht="15" thickTop="1" x14ac:dyDescent="0.35"/>
  </sheetData>
  <mergeCells count="5">
    <mergeCell ref="R29:S29"/>
    <mergeCell ref="O30:P30"/>
    <mergeCell ref="R30:S30"/>
    <mergeCell ref="H6:I6"/>
    <mergeCell ref="E6: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7D50D-EB31-4B85-A452-D3E9ED38A27F}">
  <sheetPr codeName="Sheet2">
    <tabColor rgb="FFFFFF00"/>
    <pageSetUpPr fitToPage="1"/>
  </sheetPr>
  <dimension ref="B1:AJ81"/>
  <sheetViews>
    <sheetView showGridLines="0" tabSelected="1" view="pageBreakPreview" topLeftCell="A10" zoomScaleNormal="100" zoomScaleSheetLayoutView="100" workbookViewId="0"/>
  </sheetViews>
  <sheetFormatPr defaultRowHeight="14.5" x14ac:dyDescent="0.35"/>
  <cols>
    <col min="2" max="2" width="20.453125" bestFit="1" customWidth="1"/>
    <col min="3" max="4" width="17.7265625" customWidth="1"/>
    <col min="5" max="5" width="10.1796875" customWidth="1"/>
    <col min="6" max="7" width="17.7265625" customWidth="1"/>
    <col min="8" max="8" width="19.54296875" customWidth="1"/>
    <col min="9" max="9" width="17" customWidth="1"/>
    <col min="10" max="10" width="16.1796875" customWidth="1"/>
    <col min="11" max="12" width="10" bestFit="1" customWidth="1"/>
    <col min="13" max="13" width="9.453125" bestFit="1" customWidth="1"/>
    <col min="14" max="15" width="12.1796875" bestFit="1" customWidth="1"/>
    <col min="16" max="16" width="16.81640625" customWidth="1"/>
    <col min="17" max="17" width="17.1796875" bestFit="1" customWidth="1"/>
    <col min="18" max="18" width="17.453125" customWidth="1"/>
    <col min="19" max="19" width="17.26953125" customWidth="1"/>
    <col min="20" max="20" width="5.81640625" bestFit="1" customWidth="1"/>
  </cols>
  <sheetData>
    <row r="1" spans="2:35" ht="45.5" x14ac:dyDescent="0.35">
      <c r="P1" s="247" t="s">
        <v>101</v>
      </c>
      <c r="Q1" s="247" t="s">
        <v>102</v>
      </c>
      <c r="R1" s="247" t="s">
        <v>103</v>
      </c>
      <c r="S1" s="247" t="s">
        <v>104</v>
      </c>
    </row>
    <row r="2" spans="2:35" ht="15.5" x14ac:dyDescent="0.35">
      <c r="B2" s="305"/>
      <c r="C2" s="31"/>
      <c r="D2" s="31"/>
      <c r="E2" s="31"/>
      <c r="F2" s="31"/>
      <c r="G2" s="491" t="s">
        <v>4</v>
      </c>
      <c r="P2" s="248" t="s">
        <v>105</v>
      </c>
      <c r="Q2" s="249">
        <v>-2672650</v>
      </c>
      <c r="R2" s="249">
        <f t="shared" ref="R2:R7" si="0">+I26</f>
        <v>-2536091</v>
      </c>
      <c r="S2" s="249">
        <f>+R2-Q2</f>
        <v>136559</v>
      </c>
    </row>
    <row r="3" spans="2:35" ht="15.5" x14ac:dyDescent="0.35">
      <c r="B3" s="31"/>
      <c r="C3" s="31"/>
      <c r="D3" s="31"/>
      <c r="E3" s="31"/>
      <c r="F3" s="31"/>
      <c r="G3" s="491" t="s">
        <v>106</v>
      </c>
      <c r="P3" s="250" t="s">
        <v>107</v>
      </c>
      <c r="Q3" s="251">
        <v>43835359</v>
      </c>
      <c r="R3" s="251">
        <f t="shared" si="0"/>
        <v>48614915</v>
      </c>
      <c r="S3" s="251">
        <f t="shared" ref="S3:S7" si="1">+R3-Q3</f>
        <v>4779556</v>
      </c>
    </row>
    <row r="4" spans="2:35" ht="15.5" x14ac:dyDescent="0.35">
      <c r="B4" s="31"/>
      <c r="C4" s="31"/>
      <c r="D4" s="31"/>
      <c r="E4" s="31"/>
      <c r="F4" s="31"/>
      <c r="G4" s="31"/>
      <c r="P4" s="252" t="s">
        <v>108</v>
      </c>
      <c r="Q4" s="251">
        <v>31271954</v>
      </c>
      <c r="R4" s="251">
        <f t="shared" si="0"/>
        <v>26160755</v>
      </c>
      <c r="S4" s="251">
        <f t="shared" si="1"/>
        <v>-5111199</v>
      </c>
    </row>
    <row r="5" spans="2:35" ht="15.5" x14ac:dyDescent="0.35">
      <c r="B5" s="492" t="s">
        <v>109</v>
      </c>
      <c r="C5" s="493"/>
      <c r="D5" s="493"/>
      <c r="E5" s="493"/>
      <c r="F5" s="493"/>
      <c r="G5" s="493"/>
      <c r="P5" s="250" t="s">
        <v>110</v>
      </c>
      <c r="Q5" s="251">
        <v>11548969</v>
      </c>
      <c r="R5" s="251">
        <f t="shared" si="0"/>
        <v>11548969</v>
      </c>
      <c r="S5" s="251">
        <f t="shared" si="1"/>
        <v>0</v>
      </c>
    </row>
    <row r="6" spans="2:35" ht="15.5" x14ac:dyDescent="0.35">
      <c r="B6" s="490" t="s">
        <v>111</v>
      </c>
      <c r="C6" s="493"/>
      <c r="D6" s="493"/>
      <c r="E6" s="493"/>
      <c r="F6" s="493"/>
      <c r="G6" s="493"/>
      <c r="P6" s="250" t="s">
        <v>112</v>
      </c>
      <c r="Q6" s="251">
        <v>53901690</v>
      </c>
      <c r="R6" s="251">
        <f t="shared" si="0"/>
        <v>53901690</v>
      </c>
      <c r="S6" s="251">
        <f t="shared" si="1"/>
        <v>0</v>
      </c>
    </row>
    <row r="7" spans="2:35" ht="16" thickBot="1" x14ac:dyDescent="0.4">
      <c r="B7" s="490" t="s">
        <v>113</v>
      </c>
      <c r="C7" s="493"/>
      <c r="D7" s="493"/>
      <c r="E7" s="493"/>
      <c r="F7" s="493"/>
      <c r="G7" s="493"/>
      <c r="P7" s="250" t="s">
        <v>114</v>
      </c>
      <c r="Q7" s="251">
        <v>53999232</v>
      </c>
      <c r="R7" s="251">
        <f t="shared" si="0"/>
        <v>53999232</v>
      </c>
      <c r="S7" s="251">
        <f t="shared" si="1"/>
        <v>0</v>
      </c>
    </row>
    <row r="8" spans="2:35" ht="16" thickBot="1" x14ac:dyDescent="0.4">
      <c r="B8" s="490" t="s">
        <v>115</v>
      </c>
      <c r="C8" s="493"/>
      <c r="D8" s="493"/>
      <c r="E8" s="493"/>
      <c r="F8" s="493"/>
      <c r="G8" s="493"/>
      <c r="P8" s="426" t="s">
        <v>116</v>
      </c>
      <c r="Q8" s="427">
        <f>SUM(Q2:Q7)</f>
        <v>191884554</v>
      </c>
      <c r="R8" s="427">
        <f t="shared" ref="R8:S8" si="2">SUM(R2:R7)</f>
        <v>191689470</v>
      </c>
      <c r="S8" s="427">
        <f t="shared" si="2"/>
        <v>-195084</v>
      </c>
    </row>
    <row r="9" spans="2:35" ht="16" thickBot="1" x14ac:dyDescent="0.4">
      <c r="B9" s="490" t="s">
        <v>117</v>
      </c>
      <c r="C9" s="493"/>
      <c r="D9" s="493"/>
      <c r="E9" s="493"/>
      <c r="F9" s="493"/>
      <c r="G9" s="493"/>
      <c r="P9" s="426" t="s">
        <v>118</v>
      </c>
      <c r="Q9" s="427">
        <v>105364831</v>
      </c>
      <c r="R9" s="427">
        <v>105169747</v>
      </c>
      <c r="S9" s="427">
        <f>+R9-Q9</f>
        <v>-195084</v>
      </c>
    </row>
    <row r="10" spans="2:35" ht="15.5" x14ac:dyDescent="0.35">
      <c r="B10" s="27"/>
      <c r="C10" s="26"/>
      <c r="D10" s="26"/>
      <c r="E10" s="26"/>
      <c r="F10" s="26"/>
      <c r="G10" s="26"/>
      <c r="P10" s="246" t="s">
        <v>119</v>
      </c>
    </row>
    <row r="11" spans="2:35" ht="15.5" x14ac:dyDescent="0.35">
      <c r="B11" s="27"/>
      <c r="C11" s="26"/>
      <c r="D11" s="26"/>
      <c r="E11" s="26"/>
      <c r="F11" s="26"/>
      <c r="G11" s="26"/>
      <c r="P11" s="246"/>
    </row>
    <row r="12" spans="2:35" ht="15.5" x14ac:dyDescent="0.35">
      <c r="B12" s="480"/>
      <c r="C12" s="480"/>
      <c r="D12" s="480"/>
      <c r="E12" s="480"/>
      <c r="F12" s="150" t="s">
        <v>671</v>
      </c>
      <c r="G12" s="151"/>
      <c r="H12" s="480"/>
      <c r="I12" s="150" t="s">
        <v>120</v>
      </c>
      <c r="J12" s="151"/>
      <c r="K12" s="154"/>
      <c r="N12" s="516" t="s">
        <v>672</v>
      </c>
      <c r="P12" s="117" t="s">
        <v>121</v>
      </c>
      <c r="Q12" s="118"/>
      <c r="R12" s="118"/>
      <c r="S12" s="118"/>
      <c r="T12" s="118"/>
      <c r="U12" s="118"/>
      <c r="V12" s="118"/>
      <c r="W12" s="118"/>
      <c r="X12" s="118"/>
      <c r="Y12" s="118"/>
      <c r="Z12" s="118"/>
      <c r="AA12" s="118"/>
      <c r="AB12" s="118"/>
      <c r="AC12" s="118"/>
      <c r="AD12" s="118"/>
      <c r="AE12" s="118"/>
      <c r="AF12" s="118"/>
      <c r="AG12" s="118"/>
      <c r="AH12" s="118"/>
      <c r="AI12" s="118"/>
    </row>
    <row r="13" spans="2:35" ht="15.5" x14ac:dyDescent="0.35">
      <c r="B13" s="240" t="s">
        <v>658</v>
      </c>
      <c r="C13" s="540" t="s">
        <v>122</v>
      </c>
      <c r="D13" s="540"/>
      <c r="E13" s="482"/>
      <c r="F13" s="152" t="str">
        <f>+B6</f>
        <v>2025 Rider RRC Filing</v>
      </c>
      <c r="G13" s="153"/>
      <c r="H13" s="480"/>
      <c r="I13" s="152" t="s">
        <v>123</v>
      </c>
      <c r="J13" s="153"/>
      <c r="K13" s="154"/>
      <c r="L13" s="240"/>
      <c r="M13" s="240"/>
      <c r="N13" s="484" t="s">
        <v>673</v>
      </c>
    </row>
    <row r="14" spans="2:35" ht="15.5" x14ac:dyDescent="0.35">
      <c r="B14" s="481" t="s">
        <v>659</v>
      </c>
      <c r="C14" s="484" t="s">
        <v>124</v>
      </c>
      <c r="D14" s="484" t="s">
        <v>125</v>
      </c>
      <c r="E14" s="482"/>
      <c r="F14" s="484" t="s">
        <v>124</v>
      </c>
      <c r="G14" s="484" t="s">
        <v>125</v>
      </c>
      <c r="H14" s="480"/>
      <c r="I14" s="155" t="s">
        <v>124</v>
      </c>
      <c r="J14" s="155" t="s">
        <v>125</v>
      </c>
      <c r="K14" s="154"/>
      <c r="M14" s="481" t="s">
        <v>669</v>
      </c>
      <c r="N14" s="484" t="s">
        <v>124</v>
      </c>
    </row>
    <row r="15" spans="2:35" ht="15.5" x14ac:dyDescent="0.35">
      <c r="B15" s="485" t="s">
        <v>105</v>
      </c>
      <c r="C15" s="409">
        <v>6.9999999999999999E-6</v>
      </c>
      <c r="D15" s="409">
        <f>ROUND(C15*1.06625,6)</f>
        <v>6.9999999999999999E-6</v>
      </c>
      <c r="E15" s="486"/>
      <c r="F15" s="409">
        <v>-1.06E-4</v>
      </c>
      <c r="G15" s="409">
        <f t="shared" ref="G15:G20" si="3">ROUND(F15*1.06625,6)</f>
        <v>-1.13E-4</v>
      </c>
      <c r="H15" s="480"/>
      <c r="I15" s="409">
        <v>-1.2999999999999999E-4</v>
      </c>
      <c r="J15" s="409">
        <v>-1.3899999999999999E-4</v>
      </c>
      <c r="K15" s="154"/>
      <c r="M15" s="485" t="s">
        <v>105</v>
      </c>
      <c r="N15" s="409">
        <f t="shared" ref="N15:N20" si="4">+F15-C15</f>
        <v>-1.13E-4</v>
      </c>
    </row>
    <row r="16" spans="2:35" ht="15.5" x14ac:dyDescent="0.35">
      <c r="B16" s="485" t="s">
        <v>107</v>
      </c>
      <c r="C16" s="410">
        <v>1.9650000000000002E-3</v>
      </c>
      <c r="D16" s="410">
        <f>ROUND(C16*1.06625,6)</f>
        <v>2.0950000000000001E-3</v>
      </c>
      <c r="E16" s="487"/>
      <c r="F16" s="410">
        <v>4.2529999999999998E-3</v>
      </c>
      <c r="G16" s="410">
        <f t="shared" si="3"/>
        <v>4.535E-3</v>
      </c>
      <c r="H16" s="480"/>
      <c r="I16" s="410">
        <v>2.4920000000000003E-3</v>
      </c>
      <c r="J16" s="410">
        <v>2.6570000000000001E-3</v>
      </c>
      <c r="K16" s="154"/>
      <c r="M16" s="485" t="s">
        <v>107</v>
      </c>
      <c r="N16" s="410">
        <f t="shared" si="4"/>
        <v>2.2879999999999997E-3</v>
      </c>
    </row>
    <row r="17" spans="2:20" ht="15.5" x14ac:dyDescent="0.35">
      <c r="B17" s="488" t="s">
        <v>126</v>
      </c>
      <c r="C17" s="410">
        <v>2.5399999999999999E-4</v>
      </c>
      <c r="D17" s="410">
        <f>ROUND(C17*1.06625,6)</f>
        <v>2.7099999999999997E-4</v>
      </c>
      <c r="E17" s="487"/>
      <c r="F17" s="410">
        <v>3.7699999999999999E-3</v>
      </c>
      <c r="G17" s="410">
        <f t="shared" si="3"/>
        <v>4.0200000000000001E-3</v>
      </c>
      <c r="H17" s="480"/>
      <c r="I17" s="410">
        <v>1.3410000000000002E-3</v>
      </c>
      <c r="J17" s="410">
        <v>1.4300000000000001E-3</v>
      </c>
      <c r="K17" s="154"/>
      <c r="M17" s="488" t="s">
        <v>126</v>
      </c>
      <c r="N17" s="410">
        <f t="shared" si="4"/>
        <v>3.516E-3</v>
      </c>
    </row>
    <row r="18" spans="2:20" ht="15.5" x14ac:dyDescent="0.35">
      <c r="B18" s="488" t="s">
        <v>127</v>
      </c>
      <c r="C18" s="410">
        <v>0</v>
      </c>
      <c r="D18" s="410">
        <v>0</v>
      </c>
      <c r="E18" s="487"/>
      <c r="F18" s="410">
        <v>1.078E-3</v>
      </c>
      <c r="G18" s="410">
        <f t="shared" si="3"/>
        <v>1.1490000000000001E-3</v>
      </c>
      <c r="H18" s="480"/>
      <c r="I18" s="410">
        <v>5.9199999999999997E-4</v>
      </c>
      <c r="J18" s="410">
        <v>6.3100000000000005E-4</v>
      </c>
      <c r="K18" s="154"/>
      <c r="M18" s="488" t="s">
        <v>110</v>
      </c>
      <c r="N18" s="410">
        <f t="shared" si="4"/>
        <v>1.078E-3</v>
      </c>
    </row>
    <row r="19" spans="2:20" ht="15.5" x14ac:dyDescent="0.35">
      <c r="B19" s="488" t="s">
        <v>112</v>
      </c>
      <c r="C19" s="410">
        <f>+'Rate Calculation (EE&amp;C-1_p5)'!C25</f>
        <v>9.2900000000000003E-4</v>
      </c>
      <c r="D19" s="410">
        <f>ROUND(C19*1.06625,6)</f>
        <v>9.9099999999999991E-4</v>
      </c>
      <c r="E19" s="487"/>
      <c r="F19" s="410">
        <f>+'Rate Calculation (EE&amp;C-1_p5)'!C24</f>
        <v>4.0969999999999999E-3</v>
      </c>
      <c r="G19" s="410">
        <f t="shared" si="3"/>
        <v>4.3680000000000004E-3</v>
      </c>
      <c r="H19" s="480"/>
      <c r="I19" s="410">
        <v>2.7629999999999998E-3</v>
      </c>
      <c r="J19" s="410">
        <v>2.9459999999999998E-3</v>
      </c>
      <c r="K19" s="154"/>
      <c r="M19" s="488" t="s">
        <v>112</v>
      </c>
      <c r="N19" s="410">
        <f t="shared" si="4"/>
        <v>3.1679999999999998E-3</v>
      </c>
    </row>
    <row r="20" spans="2:20" ht="15.5" x14ac:dyDescent="0.35">
      <c r="B20" s="488" t="s">
        <v>114</v>
      </c>
      <c r="C20" s="410">
        <v>1.2800000000000001E-3</v>
      </c>
      <c r="D20" s="410">
        <f>ROUND(C20*1.06625,6)</f>
        <v>1.3649999999999999E-3</v>
      </c>
      <c r="E20" s="487"/>
      <c r="F20" s="410">
        <v>3.6589999999999999E-3</v>
      </c>
      <c r="G20" s="410">
        <f t="shared" si="3"/>
        <v>3.901E-3</v>
      </c>
      <c r="H20" s="480"/>
      <c r="I20" s="410">
        <v>2.7680000000000001E-3</v>
      </c>
      <c r="J20" s="410">
        <v>2.9510000000000001E-3</v>
      </c>
      <c r="K20" s="48"/>
      <c r="M20" s="488" t="s">
        <v>114</v>
      </c>
      <c r="N20" s="410">
        <f t="shared" si="4"/>
        <v>2.379E-3</v>
      </c>
    </row>
    <row r="21" spans="2:20" ht="16" thickBot="1" x14ac:dyDescent="0.4">
      <c r="B21" s="489" t="s">
        <v>128</v>
      </c>
      <c r="C21" s="479">
        <f>SUM(C15:C20)</f>
        <v>4.4350000000000006E-3</v>
      </c>
      <c r="D21" s="479">
        <f>SUM(D15:D20)</f>
        <v>4.7289999999999997E-3</v>
      </c>
      <c r="E21" s="489"/>
      <c r="F21" s="479">
        <f>SUM(F15:F20)</f>
        <v>1.6750999999999999E-2</v>
      </c>
      <c r="G21" s="479">
        <f>SUM(G15:G20)</f>
        <v>1.7860000000000001E-2</v>
      </c>
      <c r="H21" s="480"/>
      <c r="I21" s="479">
        <f>SUM(I15:I20)</f>
        <v>9.8259999999999997E-3</v>
      </c>
      <c r="J21" s="479">
        <f>SUM(J15:J20)</f>
        <v>1.0475999999999999E-2</v>
      </c>
      <c r="K21" s="154"/>
      <c r="M21" s="489" t="s">
        <v>149</v>
      </c>
      <c r="N21" s="479">
        <f>SUM(N15:N20)</f>
        <v>1.2316000000000001E-2</v>
      </c>
      <c r="P21" s="15"/>
      <c r="Q21" s="15"/>
      <c r="R21" s="16"/>
    </row>
    <row r="22" spans="2:20" ht="16" thickTop="1" x14ac:dyDescent="0.35">
      <c r="B22" s="4"/>
      <c r="C22" s="158"/>
      <c r="D22" s="158"/>
      <c r="E22" s="4"/>
      <c r="F22" s="158"/>
      <c r="G22" s="158"/>
      <c r="P22" s="15"/>
      <c r="Q22" s="15"/>
      <c r="R22" s="16"/>
    </row>
    <row r="23" spans="2:20" ht="15.5" x14ac:dyDescent="0.35">
      <c r="B23" s="489"/>
      <c r="C23" s="494"/>
      <c r="D23" s="494"/>
      <c r="E23" s="489"/>
      <c r="F23" s="509" t="s">
        <v>670</v>
      </c>
      <c r="G23" s="509"/>
      <c r="I23" s="150" t="str">
        <f>+I12</f>
        <v>2024 Amended Rider RRC Filing</v>
      </c>
      <c r="J23" s="151"/>
      <c r="P23" s="15"/>
      <c r="Q23" s="15"/>
      <c r="R23" s="16"/>
    </row>
    <row r="24" spans="2:20" ht="15.5" x14ac:dyDescent="0.35">
      <c r="B24" s="482"/>
      <c r="C24" s="495"/>
      <c r="D24" s="495"/>
      <c r="E24" s="482"/>
      <c r="F24" s="510" t="s">
        <v>656</v>
      </c>
      <c r="G24" s="510"/>
      <c r="I24" s="152" t="str">
        <f>+I13</f>
        <v>As Filed on 6/4/2025</v>
      </c>
      <c r="J24" s="153"/>
      <c r="P24" s="15"/>
      <c r="Q24" s="15"/>
      <c r="R24" s="16"/>
    </row>
    <row r="25" spans="2:20" ht="30.5" x14ac:dyDescent="0.35">
      <c r="B25" s="504" t="s">
        <v>660</v>
      </c>
      <c r="C25" s="483" t="s">
        <v>129</v>
      </c>
      <c r="D25" s="482"/>
      <c r="E25" s="482"/>
      <c r="F25" s="497" t="str">
        <f>+B6</f>
        <v>2025 Rider RRC Filing</v>
      </c>
      <c r="G25" s="497" t="s">
        <v>130</v>
      </c>
      <c r="I25" s="253" t="s">
        <v>131</v>
      </c>
      <c r="J25" s="253" t="s">
        <v>130</v>
      </c>
      <c r="Q25" s="15"/>
      <c r="R25" s="16"/>
    </row>
    <row r="26" spans="2:20" ht="15.5" x14ac:dyDescent="0.35">
      <c r="B26" s="488" t="s">
        <v>105</v>
      </c>
      <c r="C26" s="413">
        <v>137159</v>
      </c>
      <c r="D26" s="482"/>
      <c r="E26" s="498"/>
      <c r="F26" s="413">
        <v>-2076975</v>
      </c>
      <c r="G26" s="413">
        <f t="shared" ref="G26:G30" si="5">F26-C26</f>
        <v>-2214134</v>
      </c>
      <c r="I26" s="223">
        <v>-2536091</v>
      </c>
      <c r="J26" s="231">
        <f>+F26-I26</f>
        <v>459116</v>
      </c>
      <c r="O26" s="12"/>
      <c r="P26" s="15"/>
      <c r="Q26" s="15"/>
      <c r="R26" s="16"/>
    </row>
    <row r="27" spans="2:20" ht="15.5" x14ac:dyDescent="0.35">
      <c r="B27" s="488" t="s">
        <v>107</v>
      </c>
      <c r="C27" s="411">
        <v>38502407</v>
      </c>
      <c r="D27" s="482"/>
      <c r="E27" s="498"/>
      <c r="F27" s="411">
        <v>83333707</v>
      </c>
      <c r="G27" s="411">
        <f t="shared" si="5"/>
        <v>44831300</v>
      </c>
      <c r="I27" s="224">
        <v>48614915</v>
      </c>
      <c r="J27" s="232">
        <f>+F27-I27</f>
        <v>34718792</v>
      </c>
      <c r="O27" s="12"/>
      <c r="P27" s="15"/>
      <c r="Q27" s="15"/>
      <c r="R27" s="16"/>
    </row>
    <row r="28" spans="2:20" ht="15.5" x14ac:dyDescent="0.35">
      <c r="B28" s="485" t="s">
        <v>126</v>
      </c>
      <c r="C28" s="411">
        <v>4976901</v>
      </c>
      <c r="D28" s="482"/>
      <c r="E28" s="498"/>
      <c r="F28" s="411">
        <v>73869757</v>
      </c>
      <c r="G28" s="411">
        <f t="shared" si="5"/>
        <v>68892856</v>
      </c>
      <c r="I28" s="224">
        <v>26160755</v>
      </c>
      <c r="J28" s="232">
        <f t="shared" ref="J28:J29" si="6">+F28-I28</f>
        <v>47709002</v>
      </c>
    </row>
    <row r="29" spans="2:20" ht="15.5" x14ac:dyDescent="0.35">
      <c r="B29" s="488" t="s">
        <v>127</v>
      </c>
      <c r="C29" s="411">
        <v>0</v>
      </c>
      <c r="D29" s="482"/>
      <c r="E29" s="498"/>
      <c r="F29" s="411">
        <v>21122440</v>
      </c>
      <c r="G29" s="411">
        <f t="shared" si="5"/>
        <v>21122440</v>
      </c>
      <c r="I29" s="224">
        <v>11548969</v>
      </c>
      <c r="J29" s="232">
        <f t="shared" si="6"/>
        <v>9573471</v>
      </c>
      <c r="K29" s="12"/>
      <c r="O29" s="12"/>
      <c r="P29" s="15"/>
    </row>
    <row r="30" spans="2:20" ht="15.5" x14ac:dyDescent="0.35">
      <c r="B30" s="488" t="s">
        <v>112</v>
      </c>
      <c r="C30" s="411">
        <f>ROUND('Rate Calculation (EE&amp;C-1_p5)'!$C23*'Rate Calculation (EE&amp;C-1_p5)'!$C25*1000,0)</f>
        <v>18202919</v>
      </c>
      <c r="D30" s="482"/>
      <c r="E30" s="498"/>
      <c r="F30" s="411">
        <f>+'Rate Calculation (EE&amp;C-1_p5)'!C36</f>
        <v>80277028</v>
      </c>
      <c r="G30" s="411">
        <f t="shared" si="5"/>
        <v>62074109</v>
      </c>
      <c r="I30" s="224">
        <v>53901690</v>
      </c>
      <c r="J30" s="232">
        <f>+F30-I30</f>
        <v>26375338</v>
      </c>
      <c r="P30" s="15"/>
      <c r="Q30" s="7"/>
      <c r="R30" s="7"/>
      <c r="S30" s="7"/>
      <c r="T30" s="7"/>
    </row>
    <row r="31" spans="2:20" ht="15.5" x14ac:dyDescent="0.35">
      <c r="B31" s="488" t="s">
        <v>114</v>
      </c>
      <c r="C31" s="411">
        <v>25080448</v>
      </c>
      <c r="D31" s="482"/>
      <c r="E31" s="498"/>
      <c r="F31" s="411">
        <v>71694812</v>
      </c>
      <c r="G31" s="411">
        <f>F31-C31</f>
        <v>46614364</v>
      </c>
      <c r="I31" s="224">
        <v>53999232</v>
      </c>
      <c r="J31" s="232">
        <f>+F31-I31</f>
        <v>17695580</v>
      </c>
      <c r="K31" s="49"/>
    </row>
    <row r="32" spans="2:20" ht="16" thickBot="1" x14ac:dyDescent="0.4">
      <c r="B32" s="489" t="s">
        <v>128</v>
      </c>
      <c r="C32" s="499">
        <f>SUM(C26:C31)</f>
        <v>86899834</v>
      </c>
      <c r="D32" s="489"/>
      <c r="E32" s="498"/>
      <c r="F32" s="499">
        <f>SUM(F26:F31)</f>
        <v>328220769</v>
      </c>
      <c r="G32" s="499">
        <f>SUM(G26:G31)</f>
        <v>241320935</v>
      </c>
      <c r="I32" s="225">
        <f>SUM(I26:I31)</f>
        <v>191689470</v>
      </c>
      <c r="J32" s="233">
        <f>SUM(J26:J31)</f>
        <v>136531299</v>
      </c>
      <c r="P32" s="15"/>
      <c r="Q32" s="7"/>
      <c r="R32" s="7"/>
      <c r="S32" s="7"/>
      <c r="T32" s="7"/>
    </row>
    <row r="33" spans="2:20" ht="16" thickTop="1" x14ac:dyDescent="0.35">
      <c r="B33" s="27"/>
      <c r="C33" s="1"/>
      <c r="D33" s="230"/>
      <c r="E33" s="26"/>
      <c r="F33" s="26"/>
      <c r="G33" s="26"/>
      <c r="P33" s="15"/>
      <c r="Q33" s="7"/>
      <c r="R33" s="7"/>
      <c r="S33" s="7"/>
      <c r="T33" s="7"/>
    </row>
    <row r="34" spans="2:20" ht="15.5" x14ac:dyDescent="0.35">
      <c r="B34" s="27"/>
      <c r="C34" s="26"/>
      <c r="D34" s="26"/>
      <c r="E34" s="26"/>
      <c r="F34" s="26"/>
      <c r="G34" s="26"/>
      <c r="I34" s="8"/>
      <c r="K34" s="291"/>
      <c r="P34" s="15"/>
      <c r="Q34" s="15"/>
      <c r="R34" s="16"/>
    </row>
    <row r="35" spans="2:20" ht="18.5" x14ac:dyDescent="0.45">
      <c r="B35" s="492" t="s">
        <v>109</v>
      </c>
      <c r="C35" s="493"/>
      <c r="D35" s="493"/>
      <c r="E35" s="493"/>
      <c r="F35" s="493"/>
      <c r="G35" s="493"/>
      <c r="K35" s="114"/>
      <c r="L35" s="294"/>
      <c r="M35" s="294"/>
      <c r="N35" s="294"/>
      <c r="O35" s="294"/>
      <c r="P35" s="292"/>
    </row>
    <row r="36" spans="2:20" ht="15.5" x14ac:dyDescent="0.35">
      <c r="B36" s="490" t="s">
        <v>111</v>
      </c>
      <c r="C36" s="493"/>
      <c r="D36" s="493"/>
      <c r="E36" s="493"/>
      <c r="F36" s="493"/>
      <c r="G36" s="493"/>
      <c r="K36" s="27"/>
      <c r="L36" s="295"/>
      <c r="M36" s="295"/>
      <c r="N36" s="295"/>
      <c r="O36" s="295"/>
    </row>
    <row r="37" spans="2:20" ht="15.5" x14ac:dyDescent="0.35">
      <c r="B37" s="490" t="s">
        <v>113</v>
      </c>
      <c r="C37" s="493"/>
      <c r="D37" s="493"/>
      <c r="E37" s="493"/>
      <c r="F37" s="493"/>
      <c r="G37" s="493"/>
      <c r="K37" s="400"/>
      <c r="L37" s="295"/>
      <c r="M37" s="295"/>
      <c r="N37" s="295"/>
      <c r="O37" s="295"/>
    </row>
    <row r="38" spans="2:20" ht="15.5" x14ac:dyDescent="0.35">
      <c r="B38" s="490" t="s">
        <v>115</v>
      </c>
      <c r="C38" s="493"/>
      <c r="D38" s="493"/>
      <c r="E38" s="493"/>
      <c r="F38" s="493"/>
      <c r="G38" s="493"/>
      <c r="K38" s="49"/>
      <c r="L38" s="295"/>
      <c r="M38" s="295"/>
      <c r="N38" s="295"/>
      <c r="O38" s="295"/>
    </row>
    <row r="39" spans="2:20" ht="15.5" x14ac:dyDescent="0.35">
      <c r="B39" s="490" t="s">
        <v>117</v>
      </c>
      <c r="C39" s="493"/>
      <c r="D39" s="493"/>
      <c r="E39" s="493"/>
      <c r="F39" s="493"/>
      <c r="G39" s="493"/>
      <c r="K39" s="20"/>
      <c r="L39" s="295"/>
      <c r="M39" s="295"/>
      <c r="N39" s="295"/>
      <c r="O39" s="295"/>
    </row>
    <row r="40" spans="2:20" ht="15.5" x14ac:dyDescent="0.35">
      <c r="B40" s="27"/>
      <c r="C40" s="26"/>
      <c r="D40" s="26"/>
      <c r="E40" s="26"/>
      <c r="F40" s="26"/>
      <c r="G40" s="26"/>
      <c r="K40" s="20"/>
      <c r="L40" s="295"/>
      <c r="M40" s="295"/>
      <c r="N40" s="295"/>
      <c r="O40" s="295"/>
    </row>
    <row r="41" spans="2:20" ht="15.5" x14ac:dyDescent="0.35">
      <c r="B41" s="27"/>
      <c r="C41" s="26"/>
      <c r="D41" s="26"/>
      <c r="E41" s="26"/>
      <c r="F41" s="26"/>
      <c r="G41" s="26"/>
      <c r="K41" s="20"/>
      <c r="P41" s="294"/>
    </row>
    <row r="42" spans="2:20" ht="15.5" x14ac:dyDescent="0.35">
      <c r="B42" s="480"/>
      <c r="C42" s="480"/>
      <c r="D42" s="480"/>
      <c r="E42" s="480"/>
      <c r="F42" s="150" t="s">
        <v>671</v>
      </c>
      <c r="G42" s="151"/>
      <c r="H42" s="480"/>
      <c r="I42" s="150" t="s">
        <v>120</v>
      </c>
      <c r="J42" s="151"/>
      <c r="K42" s="296"/>
      <c r="L42" s="227"/>
      <c r="N42" s="516" t="s">
        <v>672</v>
      </c>
      <c r="O42" s="227"/>
      <c r="P42" s="295"/>
    </row>
    <row r="43" spans="2:20" ht="15.5" x14ac:dyDescent="0.35">
      <c r="B43" s="240" t="s">
        <v>658</v>
      </c>
      <c r="C43" s="540" t="s">
        <v>678</v>
      </c>
      <c r="D43" s="540"/>
      <c r="E43" s="482"/>
      <c r="F43" s="152" t="str">
        <f>+B36&amp;"***"</f>
        <v>2025 Rider RRC Filing***</v>
      </c>
      <c r="G43" s="153"/>
      <c r="H43" s="480"/>
      <c r="I43" s="152" t="s">
        <v>123</v>
      </c>
      <c r="J43" s="153"/>
      <c r="K43" s="288"/>
      <c r="L43" s="227"/>
      <c r="M43" s="240"/>
      <c r="N43" s="484" t="s">
        <v>673</v>
      </c>
      <c r="O43" s="227"/>
      <c r="P43" s="295"/>
    </row>
    <row r="44" spans="2:20" ht="15.5" x14ac:dyDescent="0.35">
      <c r="B44" s="481" t="s">
        <v>659</v>
      </c>
      <c r="C44" s="484" t="s">
        <v>124</v>
      </c>
      <c r="D44" s="484" t="s">
        <v>125</v>
      </c>
      <c r="E44" s="482"/>
      <c r="F44" s="484" t="s">
        <v>124</v>
      </c>
      <c r="G44" s="484" t="s">
        <v>125</v>
      </c>
      <c r="H44" s="480"/>
      <c r="I44" s="155" t="s">
        <v>124</v>
      </c>
      <c r="J44" s="155" t="s">
        <v>125</v>
      </c>
      <c r="K44" s="288"/>
      <c r="L44" s="227"/>
      <c r="M44" s="481" t="s">
        <v>669</v>
      </c>
      <c r="N44" s="484" t="s">
        <v>124</v>
      </c>
      <c r="O44" s="227"/>
      <c r="P44" s="295"/>
    </row>
    <row r="45" spans="2:20" ht="15.5" x14ac:dyDescent="0.35">
      <c r="B45" s="485" t="s">
        <v>105</v>
      </c>
      <c r="C45" s="409">
        <f>+'RRC Incremental Incr (RRC-1_p2)'!H24</f>
        <v>-1.2999999999999999E-4</v>
      </c>
      <c r="D45" s="409">
        <f t="shared" ref="D45:D50" si="7">ROUND(C45*1.06625,6)</f>
        <v>-1.3899999999999999E-4</v>
      </c>
      <c r="E45" s="486"/>
      <c r="F45" s="409">
        <f>+F15</f>
        <v>-1.06E-4</v>
      </c>
      <c r="G45" s="409">
        <f t="shared" ref="G45:G50" si="8">ROUND(F45*1.06625,6)</f>
        <v>-1.13E-4</v>
      </c>
      <c r="H45" s="480"/>
      <c r="I45" s="409">
        <v>-1.2999999999999999E-4</v>
      </c>
      <c r="J45" s="409">
        <v>-1.3899999999999999E-4</v>
      </c>
      <c r="K45" s="297">
        <f>+C45-I45</f>
        <v>0</v>
      </c>
      <c r="L45" s="297">
        <f t="shared" ref="L45:L51" si="9">+D45-J45</f>
        <v>0</v>
      </c>
      <c r="M45" s="485" t="s">
        <v>105</v>
      </c>
      <c r="N45" s="409">
        <f t="shared" ref="N45:N50" si="10">+F45-C45</f>
        <v>2.3999999999999987E-5</v>
      </c>
      <c r="O45" s="409">
        <v>2.4000000000000001E-5</v>
      </c>
      <c r="P45" s="295"/>
    </row>
    <row r="46" spans="2:20" ht="15.5" x14ac:dyDescent="0.35">
      <c r="B46" s="485" t="s">
        <v>107</v>
      </c>
      <c r="C46" s="410">
        <f>+'RRC Incremental Incr (RRC-1_p2)'!H25</f>
        <v>2.4919999999999999E-3</v>
      </c>
      <c r="D46" s="410">
        <f t="shared" si="7"/>
        <v>2.6570000000000001E-3</v>
      </c>
      <c r="E46" s="487"/>
      <c r="F46" s="410">
        <f>+F16</f>
        <v>4.2529999999999998E-3</v>
      </c>
      <c r="G46" s="410">
        <f t="shared" si="8"/>
        <v>4.535E-3</v>
      </c>
      <c r="H46" s="480"/>
      <c r="I46" s="410">
        <v>2.4920000000000003E-3</v>
      </c>
      <c r="J46" s="410">
        <v>2.6570000000000001E-3</v>
      </c>
      <c r="K46" s="297">
        <f t="shared" ref="K46:K51" si="11">+C46-I46</f>
        <v>0</v>
      </c>
      <c r="L46" s="297">
        <f t="shared" si="9"/>
        <v>0</v>
      </c>
      <c r="M46" s="485" t="s">
        <v>107</v>
      </c>
      <c r="N46" s="410">
        <f t="shared" si="10"/>
        <v>1.761E-3</v>
      </c>
      <c r="O46" s="410">
        <v>1.761E-3</v>
      </c>
      <c r="P46" s="295"/>
    </row>
    <row r="47" spans="2:20" ht="15.5" x14ac:dyDescent="0.35">
      <c r="B47" s="488" t="s">
        <v>126</v>
      </c>
      <c r="C47" s="410">
        <f>+'RRC Incremental Incr (RRC-1_p2)'!H26</f>
        <v>1.341E-3</v>
      </c>
      <c r="D47" s="410">
        <f t="shared" si="7"/>
        <v>1.4300000000000001E-3</v>
      </c>
      <c r="E47" s="487"/>
      <c r="F47" s="410">
        <f t="shared" ref="F47:F50" si="12">+F17</f>
        <v>3.7699999999999999E-3</v>
      </c>
      <c r="G47" s="410">
        <f t="shared" si="8"/>
        <v>4.0200000000000001E-3</v>
      </c>
      <c r="H47" s="480"/>
      <c r="I47" s="410">
        <v>1.3410000000000002E-3</v>
      </c>
      <c r="J47" s="410">
        <v>1.4300000000000001E-3</v>
      </c>
      <c r="K47" s="297">
        <f t="shared" si="11"/>
        <v>0</v>
      </c>
      <c r="L47" s="297">
        <f t="shared" si="9"/>
        <v>0</v>
      </c>
      <c r="M47" s="488" t="s">
        <v>126</v>
      </c>
      <c r="N47" s="410">
        <f t="shared" si="10"/>
        <v>2.4289999999999997E-3</v>
      </c>
      <c r="O47" s="410">
        <v>2.4290000000000002E-3</v>
      </c>
    </row>
    <row r="48" spans="2:20" ht="15.5" x14ac:dyDescent="0.35">
      <c r="B48" s="488" t="s">
        <v>127</v>
      </c>
      <c r="C48" s="410">
        <f>+'RRC Incremental Incr (RRC-1_p2)'!H27</f>
        <v>5.9199999999999997E-4</v>
      </c>
      <c r="D48" s="410">
        <f t="shared" si="7"/>
        <v>6.3100000000000005E-4</v>
      </c>
      <c r="E48" s="487"/>
      <c r="F48" s="410">
        <f t="shared" si="12"/>
        <v>1.078E-3</v>
      </c>
      <c r="G48" s="410">
        <f t="shared" si="8"/>
        <v>1.1490000000000001E-3</v>
      </c>
      <c r="H48" s="480"/>
      <c r="I48" s="410">
        <v>5.9199999999999997E-4</v>
      </c>
      <c r="J48" s="410">
        <v>6.3100000000000005E-4</v>
      </c>
      <c r="K48" s="297">
        <f t="shared" si="11"/>
        <v>0</v>
      </c>
      <c r="L48" s="297">
        <f t="shared" si="9"/>
        <v>0</v>
      </c>
      <c r="M48" s="488" t="s">
        <v>110</v>
      </c>
      <c r="N48" s="410">
        <f t="shared" si="10"/>
        <v>4.86E-4</v>
      </c>
      <c r="O48" s="410">
        <v>4.86E-4</v>
      </c>
      <c r="P48" s="227"/>
    </row>
    <row r="49" spans="2:35" ht="15.5" x14ac:dyDescent="0.35">
      <c r="B49" s="488" t="s">
        <v>112</v>
      </c>
      <c r="C49" s="410">
        <f>+'RRC Incremental Incr (RRC-1_p2)'!H28</f>
        <v>2.7629999999999998E-3</v>
      </c>
      <c r="D49" s="410">
        <f t="shared" si="7"/>
        <v>2.9459999999999998E-3</v>
      </c>
      <c r="E49" s="487"/>
      <c r="F49" s="410">
        <f t="shared" si="12"/>
        <v>4.0969999999999999E-3</v>
      </c>
      <c r="G49" s="410">
        <f t="shared" si="8"/>
        <v>4.3680000000000004E-3</v>
      </c>
      <c r="H49" s="480"/>
      <c r="I49" s="410">
        <v>2.7629999999999998E-3</v>
      </c>
      <c r="J49" s="410">
        <v>2.9459999999999998E-3</v>
      </c>
      <c r="K49" s="297">
        <f t="shared" si="11"/>
        <v>0</v>
      </c>
      <c r="L49" s="297">
        <f t="shared" si="9"/>
        <v>0</v>
      </c>
      <c r="M49" s="488" t="s">
        <v>112</v>
      </c>
      <c r="N49" s="410">
        <f t="shared" si="10"/>
        <v>1.3340000000000001E-3</v>
      </c>
      <c r="O49" s="410">
        <v>1.3339999999999999E-3</v>
      </c>
      <c r="P49" s="227"/>
    </row>
    <row r="50" spans="2:35" ht="15.5" x14ac:dyDescent="0.35">
      <c r="B50" s="488" t="s">
        <v>114</v>
      </c>
      <c r="C50" s="410">
        <f>+'RRC Incremental Incr (RRC-1_p2)'!H29</f>
        <v>2.7680000000000001E-3</v>
      </c>
      <c r="D50" s="410">
        <f t="shared" si="7"/>
        <v>2.9510000000000001E-3</v>
      </c>
      <c r="E50" s="487"/>
      <c r="F50" s="410">
        <f t="shared" si="12"/>
        <v>3.6589999999999999E-3</v>
      </c>
      <c r="G50" s="410">
        <f t="shared" si="8"/>
        <v>3.901E-3</v>
      </c>
      <c r="H50" s="480"/>
      <c r="I50" s="410">
        <v>2.7680000000000001E-3</v>
      </c>
      <c r="J50" s="410">
        <v>2.9510000000000001E-3</v>
      </c>
      <c r="K50" s="297">
        <f t="shared" si="11"/>
        <v>0</v>
      </c>
      <c r="L50" s="297">
        <f t="shared" si="9"/>
        <v>0</v>
      </c>
      <c r="M50" s="488" t="s">
        <v>114</v>
      </c>
      <c r="N50" s="410">
        <f t="shared" si="10"/>
        <v>8.9099999999999987E-4</v>
      </c>
      <c r="O50" s="410">
        <v>8.9099999999999997E-4</v>
      </c>
      <c r="P50" s="227"/>
    </row>
    <row r="51" spans="2:35" ht="16" thickBot="1" x14ac:dyDescent="0.4">
      <c r="B51" s="489" t="s">
        <v>128</v>
      </c>
      <c r="C51" s="479">
        <f>SUM(C45:C50)</f>
        <v>9.8259999999999997E-3</v>
      </c>
      <c r="D51" s="479">
        <f>SUM(D45:D50)</f>
        <v>1.0475999999999999E-2</v>
      </c>
      <c r="E51" s="489"/>
      <c r="F51" s="479">
        <f>SUM(F45:F50)</f>
        <v>1.6750999999999999E-2</v>
      </c>
      <c r="G51" s="479">
        <f>SUM(G45:G50)</f>
        <v>1.7860000000000001E-2</v>
      </c>
      <c r="H51" s="480"/>
      <c r="I51" s="479">
        <f>SUM(I45:I50)</f>
        <v>9.8259999999999997E-3</v>
      </c>
      <c r="J51" s="479">
        <f>SUM(J45:J50)</f>
        <v>1.0475999999999999E-2</v>
      </c>
      <c r="K51" s="297">
        <f t="shared" si="11"/>
        <v>0</v>
      </c>
      <c r="L51" s="297">
        <f t="shared" si="9"/>
        <v>0</v>
      </c>
      <c r="M51" s="240" t="s">
        <v>149</v>
      </c>
      <c r="N51" s="479">
        <f>SUM(N45:N50)</f>
        <v>6.9250000000000006E-3</v>
      </c>
      <c r="O51" s="479">
        <f>SUM(O45:O50)</f>
        <v>6.9250000000000006E-3</v>
      </c>
      <c r="P51" s="227"/>
    </row>
    <row r="52" spans="2:35" ht="16.5" thickTop="1" thickBot="1" x14ac:dyDescent="0.4">
      <c r="B52" s="4"/>
      <c r="C52" s="158"/>
      <c r="D52" s="158"/>
      <c r="E52" s="4"/>
      <c r="F52" s="158"/>
      <c r="G52" s="158"/>
      <c r="K52" s="27"/>
      <c r="L52" s="227"/>
      <c r="M52" s="227"/>
      <c r="N52" s="227"/>
      <c r="O52" s="479">
        <v>6.9249999999999997E-3</v>
      </c>
      <c r="P52" s="227"/>
    </row>
    <row r="53" spans="2:35" ht="16.5" thickTop="1" thickBot="1" x14ac:dyDescent="0.4">
      <c r="B53" s="489"/>
      <c r="C53" s="494"/>
      <c r="D53" s="494"/>
      <c r="E53" s="489"/>
      <c r="F53" s="509" t="str">
        <f>+F42</f>
        <v>"As Filed"</v>
      </c>
      <c r="G53" s="509"/>
      <c r="I53" s="150" t="str">
        <f>+I42</f>
        <v>2024 Amended Rider RRC Filing</v>
      </c>
      <c r="J53" s="151"/>
      <c r="K53" s="296"/>
      <c r="O53" s="479">
        <f>+O51-O52</f>
        <v>0</v>
      </c>
      <c r="P53" s="227"/>
    </row>
    <row r="54" spans="2:35" ht="16" thickTop="1" x14ac:dyDescent="0.35">
      <c r="B54" s="482"/>
      <c r="C54" s="495"/>
      <c r="D54" s="495"/>
      <c r="E54" s="482"/>
      <c r="F54" s="510" t="str">
        <f>+F43</f>
        <v>2025 Rider RRC Filing***</v>
      </c>
      <c r="G54" s="510"/>
      <c r="I54" s="152" t="str">
        <f>+I43</f>
        <v>As Filed on 6/4/2025</v>
      </c>
      <c r="J54" s="153"/>
      <c r="K54" s="288"/>
      <c r="P54" s="227"/>
    </row>
    <row r="55" spans="2:35" ht="30.5" x14ac:dyDescent="0.35">
      <c r="B55" s="504" t="s">
        <v>660</v>
      </c>
      <c r="C55" s="501" t="str">
        <f>+C43</f>
        <v>2024 Amended Rider Filing**</v>
      </c>
      <c r="D55" s="482"/>
      <c r="E55" s="482"/>
      <c r="F55" s="497" t="str">
        <f>+F43</f>
        <v>2025 Rider RRC Filing***</v>
      </c>
      <c r="G55" s="497" t="s">
        <v>130</v>
      </c>
      <c r="I55" s="253" t="s">
        <v>131</v>
      </c>
      <c r="J55" s="253" t="s">
        <v>130</v>
      </c>
      <c r="K55" s="20"/>
      <c r="P55" s="227"/>
    </row>
    <row r="56" spans="2:35" ht="15.5" x14ac:dyDescent="0.35">
      <c r="B56" s="488" t="s">
        <v>105</v>
      </c>
      <c r="C56" s="413">
        <f>+'RRC Incremental Incr (RRC-1_p2)'!C35+'RRC Incremental Incr (RRC-1_p2)'!F55*0</f>
        <v>-2536091</v>
      </c>
      <c r="D56" s="482"/>
      <c r="E56" s="498"/>
      <c r="F56" s="413">
        <f>+F26</f>
        <v>-2076975</v>
      </c>
      <c r="G56" s="413">
        <f t="shared" ref="G56:G60" si="13">F56-C56</f>
        <v>459116</v>
      </c>
      <c r="I56" s="223">
        <v>-2536091</v>
      </c>
      <c r="J56" s="231">
        <f>+F56-I56</f>
        <v>459116</v>
      </c>
      <c r="K56" s="512">
        <f>+C56-I56</f>
        <v>0</v>
      </c>
      <c r="O56" s="514"/>
      <c r="P56" s="227"/>
    </row>
    <row r="57" spans="2:35" ht="15.5" x14ac:dyDescent="0.35">
      <c r="B57" s="488" t="s">
        <v>107</v>
      </c>
      <c r="C57" s="411">
        <f>+'RRC Incremental Incr (RRC-1_p2)'!E25+'RRC Incremental Incr (RRC-1_p2)'!F56*0</f>
        <v>48614915</v>
      </c>
      <c r="D57" s="482"/>
      <c r="E57" s="498"/>
      <c r="F57" s="411">
        <f>+F27</f>
        <v>83333707</v>
      </c>
      <c r="G57" s="411">
        <f t="shared" si="13"/>
        <v>34718792</v>
      </c>
      <c r="I57" s="224">
        <v>48614915</v>
      </c>
      <c r="J57" s="232">
        <f>+F57-I57</f>
        <v>34718792</v>
      </c>
      <c r="K57" s="511">
        <f t="shared" ref="K57:K62" si="14">+C57-I57</f>
        <v>0</v>
      </c>
      <c r="L57" s="289"/>
      <c r="M57" s="289"/>
      <c r="N57" s="289"/>
      <c r="O57" s="514"/>
    </row>
    <row r="58" spans="2:35" ht="15.5" x14ac:dyDescent="0.35">
      <c r="B58" s="485" t="s">
        <v>126</v>
      </c>
      <c r="C58" s="411">
        <f>+'RRC Incremental Incr (RRC-1_p2)'!E26+'RRC Incremental Incr (RRC-1_p2)'!F57*0</f>
        <v>26160755</v>
      </c>
      <c r="D58" s="482"/>
      <c r="E58" s="498"/>
      <c r="F58" s="411">
        <f t="shared" ref="F58:F61" si="15">+F28</f>
        <v>73869757</v>
      </c>
      <c r="G58" s="411">
        <f t="shared" si="13"/>
        <v>47709002</v>
      </c>
      <c r="I58" s="224">
        <v>26160755</v>
      </c>
      <c r="J58" s="232">
        <f t="shared" ref="J58:J59" si="16">+F58-I58</f>
        <v>47709002</v>
      </c>
      <c r="K58" s="511">
        <f t="shared" si="14"/>
        <v>0</v>
      </c>
      <c r="L58" s="289"/>
      <c r="M58" s="289"/>
      <c r="N58" s="289"/>
      <c r="O58" s="514"/>
    </row>
    <row r="59" spans="2:35" ht="15.5" x14ac:dyDescent="0.35">
      <c r="B59" s="488" t="s">
        <v>127</v>
      </c>
      <c r="C59" s="411">
        <f>+'RRC Incremental Incr (RRC-1_p2)'!E27+'RRC Incremental Incr (RRC-1_p2)'!F58*0</f>
        <v>11548969</v>
      </c>
      <c r="D59" s="482"/>
      <c r="E59" s="498"/>
      <c r="F59" s="411">
        <f t="shared" si="15"/>
        <v>21122440</v>
      </c>
      <c r="G59" s="411">
        <f t="shared" si="13"/>
        <v>9573471</v>
      </c>
      <c r="I59" s="224">
        <v>11548969</v>
      </c>
      <c r="J59" s="232">
        <f t="shared" si="16"/>
        <v>9573471</v>
      </c>
      <c r="K59" s="511">
        <f t="shared" si="14"/>
        <v>0</v>
      </c>
      <c r="L59" s="289"/>
      <c r="M59" s="289"/>
      <c r="N59" s="289"/>
      <c r="O59" s="514"/>
    </row>
    <row r="60" spans="2:35" ht="15.5" x14ac:dyDescent="0.35">
      <c r="B60" s="488" t="s">
        <v>112</v>
      </c>
      <c r="C60" s="411">
        <f>+'RRC Incremental Incr (RRC-1_p2)'!E28+'RRC Incremental Incr (RRC-1_p2)'!F59*0</f>
        <v>53901690</v>
      </c>
      <c r="D60" s="482"/>
      <c r="E60" s="498"/>
      <c r="F60" s="411">
        <f t="shared" si="15"/>
        <v>80277028</v>
      </c>
      <c r="G60" s="411">
        <f t="shared" si="13"/>
        <v>26375338</v>
      </c>
      <c r="I60" s="224">
        <v>53901690</v>
      </c>
      <c r="J60" s="232">
        <f>+F60-I60</f>
        <v>26375338</v>
      </c>
      <c r="K60" s="511">
        <f t="shared" si="14"/>
        <v>0</v>
      </c>
      <c r="L60" s="289"/>
      <c r="M60" s="289"/>
      <c r="N60" s="289"/>
      <c r="O60" s="514"/>
      <c r="P60" s="27"/>
      <c r="Q60" s="27"/>
      <c r="R60" s="40"/>
      <c r="S60" s="40"/>
      <c r="T60" s="40"/>
      <c r="U60" s="40"/>
      <c r="V60" s="40"/>
      <c r="W60" s="40"/>
      <c r="X60" s="40"/>
      <c r="Y60" s="40"/>
      <c r="Z60" s="40"/>
      <c r="AA60" s="40"/>
      <c r="AB60" s="40"/>
      <c r="AC60" s="40"/>
      <c r="AD60" s="40"/>
      <c r="AE60" s="40"/>
      <c r="AF60" s="40"/>
      <c r="AG60" s="40"/>
      <c r="AH60" s="40"/>
      <c r="AI60" s="40"/>
    </row>
    <row r="61" spans="2:35" ht="15.5" x14ac:dyDescent="0.35">
      <c r="B61" s="488" t="s">
        <v>114</v>
      </c>
      <c r="C61" s="411">
        <f>+'RRC Incremental Incr (RRC-1_p2)'!E29+'RRC Incremental Incr (RRC-1_p2)'!F60*0</f>
        <v>53999232</v>
      </c>
      <c r="D61" s="482"/>
      <c r="E61" s="498"/>
      <c r="F61" s="411">
        <f t="shared" si="15"/>
        <v>71694812</v>
      </c>
      <c r="G61" s="411">
        <f>F61-C61</f>
        <v>17695580</v>
      </c>
      <c r="I61" s="224">
        <v>53999232</v>
      </c>
      <c r="J61" s="232">
        <f>+F61-I61</f>
        <v>17695580</v>
      </c>
      <c r="K61" s="511">
        <f t="shared" si="14"/>
        <v>0</v>
      </c>
      <c r="L61" s="289"/>
      <c r="M61" s="289"/>
      <c r="N61" s="289"/>
      <c r="O61" s="514"/>
    </row>
    <row r="62" spans="2:35" ht="16" thickBot="1" x14ac:dyDescent="0.4">
      <c r="B62" s="489" t="s">
        <v>128</v>
      </c>
      <c r="C62" s="499">
        <f>SUM(C56:C61)</f>
        <v>191689470</v>
      </c>
      <c r="D62" s="489"/>
      <c r="E62" s="498"/>
      <c r="F62" s="499">
        <f>SUM(F56:F61)</f>
        <v>328220769</v>
      </c>
      <c r="G62" s="499">
        <f>SUM(G56:G61)</f>
        <v>136531299</v>
      </c>
      <c r="I62" s="225">
        <f>SUM(I56:I61)</f>
        <v>191689470</v>
      </c>
      <c r="J62" s="233">
        <f>SUM(J56:J61)</f>
        <v>136531299</v>
      </c>
      <c r="K62" s="512">
        <f t="shared" si="14"/>
        <v>0</v>
      </c>
      <c r="L62" s="289"/>
      <c r="M62" s="289"/>
      <c r="N62" s="289"/>
      <c r="O62" s="514"/>
    </row>
    <row r="63" spans="2:35" ht="16" thickTop="1" x14ac:dyDescent="0.35">
      <c r="B63" s="288"/>
      <c r="C63" s="298"/>
      <c r="D63" s="298"/>
      <c r="E63" s="31"/>
      <c r="F63" s="298"/>
      <c r="G63" s="298"/>
      <c r="H63" s="31"/>
      <c r="I63" s="298"/>
      <c r="J63" s="298"/>
      <c r="K63" s="298"/>
      <c r="L63" s="289"/>
      <c r="M63" s="289"/>
      <c r="N63" s="289"/>
      <c r="O63" s="289"/>
    </row>
    <row r="64" spans="2:35" ht="15.5" x14ac:dyDescent="0.35">
      <c r="B64" s="513" t="s">
        <v>661</v>
      </c>
      <c r="C64" s="298"/>
      <c r="D64" s="298"/>
      <c r="E64" s="31"/>
      <c r="F64" s="298"/>
      <c r="G64" s="298"/>
      <c r="H64" s="31"/>
      <c r="I64" s="298"/>
      <c r="J64" s="298"/>
      <c r="K64" s="226"/>
      <c r="L64" s="289"/>
      <c r="M64" s="289"/>
      <c r="N64" s="289"/>
      <c r="O64" s="289"/>
    </row>
    <row r="65" spans="2:11" ht="15.5" x14ac:dyDescent="0.35">
      <c r="B65" s="513" t="str">
        <f>"** Calculation Based on Forecast kWh of "&amp;RIGHT(DOLLAR(C68,0),14)</f>
        <v>** Calculation Based on Forecast kWh of 19,508,393,182</v>
      </c>
      <c r="C65" s="226"/>
      <c r="D65" s="226"/>
      <c r="E65" s="4"/>
      <c r="F65" s="226"/>
      <c r="G65" s="226"/>
      <c r="H65" s="4"/>
      <c r="I65" s="226"/>
      <c r="J65" s="226"/>
      <c r="K65" s="226"/>
    </row>
    <row r="66" spans="2:11" ht="15.5" x14ac:dyDescent="0.35">
      <c r="B66" s="513" t="str">
        <f>"*** Calculation Based on Forecast kWh of "&amp;RIGHT(DOLLAR(F68,0),14)</f>
        <v>*** Calculation Based on Forecast kWh of 19,594,100,021</v>
      </c>
      <c r="C66" s="226"/>
      <c r="D66" s="226"/>
      <c r="E66" s="4"/>
      <c r="F66" s="226"/>
      <c r="G66" s="226"/>
      <c r="H66" s="4"/>
      <c r="I66" s="226"/>
      <c r="J66" s="226"/>
      <c r="K66" s="226"/>
    </row>
    <row r="67" spans="2:11" ht="15.5" x14ac:dyDescent="0.35">
      <c r="C67" s="226"/>
      <c r="D67" s="226"/>
      <c r="E67" s="4"/>
      <c r="F67" s="228"/>
      <c r="G67" s="226"/>
      <c r="H67" s="4"/>
      <c r="I67" s="226"/>
      <c r="J67" s="226"/>
      <c r="K67" s="158"/>
    </row>
    <row r="68" spans="2:11" ht="16" thickBot="1" x14ac:dyDescent="0.4">
      <c r="B68" s="489" t="s">
        <v>677</v>
      </c>
      <c r="C68" s="538">
        <f>+'RRC Incremental Incr (RRC-1_p2)'!$I$30</f>
        <v>19508393182</v>
      </c>
      <c r="E68" s="4"/>
      <c r="F68" s="537">
        <f>+'RRC Incremental Incr (RRC-1_p2)'!$I$41</f>
        <v>19594100021</v>
      </c>
      <c r="H68" s="4"/>
      <c r="I68" s="158"/>
      <c r="J68" s="158"/>
    </row>
    <row r="69" spans="2:11" ht="15" thickTop="1" x14ac:dyDescent="0.35">
      <c r="K69" s="291"/>
    </row>
    <row r="70" spans="2:11" x14ac:dyDescent="0.35">
      <c r="C70" s="291"/>
      <c r="F70" s="291"/>
      <c r="G70" s="291"/>
      <c r="I70" s="291"/>
      <c r="J70" s="291"/>
    </row>
    <row r="71" spans="2:11" x14ac:dyDescent="0.35">
      <c r="B71" s="73"/>
      <c r="C71" s="2"/>
      <c r="D71" s="2"/>
      <c r="F71" s="2"/>
      <c r="G71" s="2"/>
      <c r="I71" s="2"/>
      <c r="J71" s="2"/>
    </row>
    <row r="72" spans="2:11" x14ac:dyDescent="0.35">
      <c r="B72" s="299"/>
      <c r="C72" s="300"/>
      <c r="D72" s="301"/>
      <c r="F72" s="302"/>
      <c r="G72" s="301"/>
      <c r="I72" s="302"/>
      <c r="J72" s="302"/>
    </row>
    <row r="73" spans="2:11" x14ac:dyDescent="0.35">
      <c r="C73" s="291"/>
      <c r="E73" s="2"/>
      <c r="F73" s="291"/>
      <c r="G73" s="291"/>
      <c r="I73" s="291"/>
    </row>
    <row r="74" spans="2:11" ht="15.5" x14ac:dyDescent="0.35">
      <c r="B74" s="27"/>
      <c r="C74" s="303"/>
      <c r="D74" s="287"/>
      <c r="E74" s="287"/>
      <c r="F74" s="303"/>
      <c r="G74" s="303"/>
    </row>
    <row r="75" spans="2:11" ht="15.5" x14ac:dyDescent="0.35">
      <c r="B75" s="31"/>
      <c r="C75" s="288"/>
      <c r="F75" s="288"/>
    </row>
    <row r="76" spans="2:11" ht="15.5" x14ac:dyDescent="0.35">
      <c r="B76" s="304"/>
      <c r="C76" s="288"/>
      <c r="F76" s="288"/>
      <c r="G76" s="291"/>
    </row>
    <row r="77" spans="2:11" ht="15.5" x14ac:dyDescent="0.35">
      <c r="B77" s="304"/>
      <c r="C77" s="290"/>
      <c r="F77" s="290"/>
      <c r="G77" s="290"/>
    </row>
    <row r="78" spans="2:11" ht="15.5" x14ac:dyDescent="0.35">
      <c r="C78" s="290"/>
      <c r="F78" s="290"/>
      <c r="G78" s="290"/>
    </row>
    <row r="79" spans="2:11" ht="15.5" x14ac:dyDescent="0.35">
      <c r="B79" s="27"/>
      <c r="C79" s="303"/>
      <c r="D79" s="287"/>
      <c r="E79" s="287"/>
      <c r="F79" s="303"/>
      <c r="G79" s="303"/>
    </row>
    <row r="81" spans="36:36" ht="15.5" x14ac:dyDescent="0.35">
      <c r="AJ81" s="118"/>
    </row>
  </sheetData>
  <mergeCells count="2">
    <mergeCell ref="C13:D13"/>
    <mergeCell ref="C43:D43"/>
  </mergeCells>
  <printOptions horizontalCentered="1"/>
  <pageMargins left="0.25" right="0.25" top="0.75" bottom="0.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6E2E-9508-4798-B171-4B94226498A4}">
  <sheetPr>
    <tabColor rgb="FFFFFF00"/>
    <pageSetUpPr fitToPage="1"/>
  </sheetPr>
  <dimension ref="A1:Q62"/>
  <sheetViews>
    <sheetView view="pageBreakPreview" zoomScaleNormal="100" zoomScaleSheetLayoutView="100" workbookViewId="0">
      <selection activeCell="N45" sqref="N45"/>
    </sheetView>
  </sheetViews>
  <sheetFormatPr defaultRowHeight="14.5" x14ac:dyDescent="0.35"/>
  <cols>
    <col min="1" max="1" width="3" bestFit="1" customWidth="1"/>
    <col min="2" max="2" width="26.7265625" customWidth="1"/>
    <col min="3" max="3" width="17.7265625" bestFit="1" customWidth="1"/>
    <col min="4" max="4" width="1.453125" customWidth="1"/>
    <col min="5" max="6" width="17.7265625" customWidth="1"/>
    <col min="7" max="7" width="1.453125" customWidth="1"/>
    <col min="8" max="8" width="16.26953125" bestFit="1" customWidth="1"/>
    <col min="9" max="9" width="16.81640625" bestFit="1" customWidth="1"/>
    <col min="10" max="11" width="4.1796875" bestFit="1" customWidth="1"/>
    <col min="12" max="12" width="8.54296875" bestFit="1" customWidth="1"/>
    <col min="13" max="13" width="15.54296875" customWidth="1"/>
    <col min="14" max="14" width="15.7265625" bestFit="1" customWidth="1"/>
    <col min="15" max="15" width="110.54296875" customWidth="1"/>
    <col min="17" max="17" width="108.81640625" customWidth="1"/>
  </cols>
  <sheetData>
    <row r="1" spans="2:17" ht="18.5" x14ac:dyDescent="0.45">
      <c r="F1" s="113" t="s">
        <v>4</v>
      </c>
      <c r="O1" s="515" t="s">
        <v>132</v>
      </c>
      <c r="Q1" s="515" t="s">
        <v>111</v>
      </c>
    </row>
    <row r="2" spans="2:17" ht="18.5" x14ac:dyDescent="0.45">
      <c r="B2" s="305"/>
      <c r="F2" s="113" t="s">
        <v>133</v>
      </c>
    </row>
    <row r="4" spans="2:17" ht="17" x14ac:dyDescent="0.4">
      <c r="B4" s="47" t="s">
        <v>109</v>
      </c>
      <c r="C4" s="46"/>
      <c r="D4" s="46"/>
      <c r="E4" s="46"/>
      <c r="F4" s="46"/>
    </row>
    <row r="5" spans="2:17" ht="17" x14ac:dyDescent="0.4">
      <c r="B5" s="463" t="s">
        <v>111</v>
      </c>
      <c r="C5" s="46"/>
      <c r="D5" s="46"/>
      <c r="E5" s="46"/>
      <c r="F5" s="46"/>
    </row>
    <row r="6" spans="2:17" ht="17" x14ac:dyDescent="0.4">
      <c r="B6" s="463" t="s">
        <v>134</v>
      </c>
      <c r="C6" s="46"/>
      <c r="D6" s="46"/>
      <c r="E6" s="46"/>
      <c r="F6" s="46"/>
    </row>
    <row r="7" spans="2:17" ht="17" x14ac:dyDescent="0.4">
      <c r="B7" s="463" t="s">
        <v>135</v>
      </c>
      <c r="C7" s="46"/>
      <c r="D7" s="46"/>
      <c r="E7" s="46"/>
      <c r="F7" s="46"/>
    </row>
    <row r="8" spans="2:17" ht="17" x14ac:dyDescent="0.4">
      <c r="B8" s="463" t="s">
        <v>117</v>
      </c>
      <c r="C8" s="46"/>
      <c r="D8" s="46"/>
      <c r="E8" s="46"/>
      <c r="F8" s="46"/>
    </row>
    <row r="9" spans="2:17" ht="15.5" x14ac:dyDescent="0.35">
      <c r="B9" s="27"/>
      <c r="C9" s="26"/>
      <c r="D9" s="26"/>
      <c r="E9" s="26"/>
      <c r="F9" s="26"/>
    </row>
    <row r="10" spans="2:17" ht="17" x14ac:dyDescent="0.4">
      <c r="B10" s="449" t="s">
        <v>136</v>
      </c>
      <c r="C10" s="450"/>
      <c r="D10" s="450"/>
      <c r="E10" s="450"/>
      <c r="F10" s="451"/>
    </row>
    <row r="11" spans="2:17" ht="17" x14ac:dyDescent="0.4">
      <c r="B11" s="452" t="s">
        <v>137</v>
      </c>
      <c r="C11" s="453"/>
      <c r="D11" s="454"/>
      <c r="E11" s="453"/>
      <c r="F11" s="455"/>
    </row>
    <row r="12" spans="2:17" ht="46.5" x14ac:dyDescent="0.35">
      <c r="B12" s="414" t="s">
        <v>643</v>
      </c>
      <c r="C12" s="414" t="s">
        <v>625</v>
      </c>
      <c r="D12" s="31"/>
      <c r="E12" s="414" t="s">
        <v>624</v>
      </c>
      <c r="F12" s="414" t="s">
        <v>130</v>
      </c>
      <c r="G12" s="31"/>
      <c r="H12" s="421" t="str">
        <f>+E12&amp;" Tariff Rates"</f>
        <v>2023 Amended Rider RRC Filing Tariff Rates</v>
      </c>
      <c r="I12" s="421" t="s">
        <v>623</v>
      </c>
      <c r="L12" s="421" t="s">
        <v>669</v>
      </c>
      <c r="M12" s="469" t="s">
        <v>679</v>
      </c>
      <c r="N12" s="469" t="s">
        <v>676</v>
      </c>
    </row>
    <row r="13" spans="2:17" ht="15.5" x14ac:dyDescent="0.35">
      <c r="B13" s="419" t="s">
        <v>105</v>
      </c>
      <c r="C13" s="443">
        <v>136559</v>
      </c>
      <c r="D13" s="38"/>
      <c r="E13" s="443">
        <v>-1950839</v>
      </c>
      <c r="F13" s="443">
        <f>+E13-C13</f>
        <v>-2087398</v>
      </c>
      <c r="G13" s="31"/>
      <c r="H13" s="457">
        <f>ROUND(E13/I19,6)</f>
        <v>-1E-4</v>
      </c>
      <c r="I13" s="458"/>
      <c r="L13" s="419" t="s">
        <v>105</v>
      </c>
      <c r="M13" s="457">
        <f t="shared" ref="M13:M18" si="0">+H13-H2</f>
        <v>-1E-4</v>
      </c>
      <c r="N13" s="457">
        <f>ROUND(M13*1.06625,6)</f>
        <v>-1.07E-4</v>
      </c>
    </row>
    <row r="14" spans="2:17" ht="15.5" x14ac:dyDescent="0.35">
      <c r="B14" s="416" t="s">
        <v>107</v>
      </c>
      <c r="C14" s="444">
        <v>38333993</v>
      </c>
      <c r="D14" s="38"/>
      <c r="E14" s="444">
        <v>45317997</v>
      </c>
      <c r="F14" s="444">
        <f>+E14-C14</f>
        <v>6984004</v>
      </c>
      <c r="G14" s="31"/>
      <c r="H14" s="459">
        <f>ROUND(E14/I19,6)</f>
        <v>2.323E-3</v>
      </c>
      <c r="I14" s="460"/>
      <c r="L14" s="416" t="s">
        <v>107</v>
      </c>
      <c r="M14" s="459">
        <f t="shared" si="0"/>
        <v>2.323E-3</v>
      </c>
      <c r="N14" s="459">
        <f t="shared" ref="N14:N18" si="1">ROUND(M14*1.06625,6)</f>
        <v>2.477E-3</v>
      </c>
    </row>
    <row r="15" spans="2:17" ht="15.5" x14ac:dyDescent="0.35">
      <c r="B15" s="417" t="s">
        <v>126</v>
      </c>
      <c r="C15" s="444">
        <v>4955132</v>
      </c>
      <c r="D15" s="38"/>
      <c r="E15" s="444">
        <v>14689820</v>
      </c>
      <c r="F15" s="444">
        <f t="shared" ref="F15:F18" si="2">+E15-C15</f>
        <v>9734688</v>
      </c>
      <c r="G15" s="31"/>
      <c r="H15" s="459">
        <f>ROUND(E15/I19,6)</f>
        <v>7.5299999999999998E-4</v>
      </c>
      <c r="I15" s="460"/>
      <c r="L15" s="417" t="s">
        <v>126</v>
      </c>
      <c r="M15" s="459">
        <f t="shared" si="0"/>
        <v>7.5299999999999998E-4</v>
      </c>
      <c r="N15" s="459">
        <f t="shared" si="1"/>
        <v>8.03E-4</v>
      </c>
    </row>
    <row r="16" spans="2:17" ht="15.5" x14ac:dyDescent="0.35">
      <c r="B16" s="417" t="s">
        <v>127</v>
      </c>
      <c r="C16" s="444">
        <f>+'RRC Component Rates (RRC-1 p1)'!C29</f>
        <v>0</v>
      </c>
      <c r="D16" s="38"/>
      <c r="E16" s="444">
        <v>6379245</v>
      </c>
      <c r="F16" s="444">
        <f t="shared" si="2"/>
        <v>6379245</v>
      </c>
      <c r="G16" s="31"/>
      <c r="H16" s="459">
        <f>ROUND(E16/I19,6)</f>
        <v>3.2699999999999998E-4</v>
      </c>
      <c r="I16" s="460"/>
      <c r="L16" s="417" t="s">
        <v>110</v>
      </c>
      <c r="M16" s="459">
        <f t="shared" si="0"/>
        <v>3.2699999999999998E-4</v>
      </c>
      <c r="N16" s="459">
        <f t="shared" si="1"/>
        <v>3.4900000000000003E-4</v>
      </c>
    </row>
    <row r="17" spans="2:14" ht="15.5" x14ac:dyDescent="0.35">
      <c r="B17" s="417" t="s">
        <v>112</v>
      </c>
      <c r="C17" s="444">
        <v>18123297</v>
      </c>
      <c r="D17" s="38"/>
      <c r="E17" s="444">
        <v>40421391</v>
      </c>
      <c r="F17" s="444">
        <f t="shared" si="2"/>
        <v>22298094</v>
      </c>
      <c r="G17" s="31"/>
      <c r="H17" s="459">
        <f>ROUND(E17/I19,6)</f>
        <v>2.0720000000000001E-3</v>
      </c>
      <c r="I17" s="460"/>
      <c r="L17" s="417" t="s">
        <v>668</v>
      </c>
      <c r="M17" s="459">
        <f t="shared" si="0"/>
        <v>2.0720000000000001E-3</v>
      </c>
      <c r="N17" s="459">
        <f t="shared" si="1"/>
        <v>2.209E-3</v>
      </c>
    </row>
    <row r="18" spans="2:14" ht="15.5" x14ac:dyDescent="0.35">
      <c r="B18" s="420" t="s">
        <v>114</v>
      </c>
      <c r="C18" s="444">
        <v>24970743</v>
      </c>
      <c r="D18" s="38"/>
      <c r="E18" s="444">
        <v>24970743</v>
      </c>
      <c r="F18" s="444">
        <f t="shared" si="2"/>
        <v>0</v>
      </c>
      <c r="G18" s="31"/>
      <c r="H18" s="459">
        <f>ROUND(E18/I19,6)</f>
        <v>1.2800000000000001E-3</v>
      </c>
      <c r="I18" s="461"/>
      <c r="L18" s="420" t="s">
        <v>378</v>
      </c>
      <c r="M18" s="459">
        <f t="shared" si="0"/>
        <v>1.2800000000000001E-3</v>
      </c>
      <c r="N18" s="459">
        <f t="shared" si="1"/>
        <v>1.3649999999999999E-3</v>
      </c>
    </row>
    <row r="19" spans="2:14" ht="16" thickBot="1" x14ac:dyDescent="0.4">
      <c r="B19" s="418" t="s">
        <v>128</v>
      </c>
      <c r="C19" s="412">
        <f>SUM(C13:C18)</f>
        <v>86519724</v>
      </c>
      <c r="D19" s="38"/>
      <c r="E19" s="412">
        <f>SUM(E13:E18)</f>
        <v>129828357</v>
      </c>
      <c r="F19" s="412">
        <f>SUM(F13:F18)</f>
        <v>43308633</v>
      </c>
      <c r="G19" s="31"/>
      <c r="H19" s="447">
        <f>SUM(H13:H18)</f>
        <v>6.6550000000000003E-3</v>
      </c>
      <c r="I19" s="448">
        <v>19508393182</v>
      </c>
      <c r="L19" s="507" t="s">
        <v>149</v>
      </c>
      <c r="M19" s="447">
        <f>SUM(M13:M18)</f>
        <v>6.6550000000000003E-3</v>
      </c>
      <c r="N19" s="479">
        <f>SUM(N13:N18)</f>
        <v>7.0959999999999999E-3</v>
      </c>
    </row>
    <row r="20" spans="2:14" ht="16.5" thickTop="1" thickBot="1" x14ac:dyDescent="0.4">
      <c r="B20" s="4"/>
      <c r="C20" s="425"/>
      <c r="D20" s="38"/>
      <c r="E20" s="425"/>
      <c r="F20" s="425"/>
      <c r="G20" s="31"/>
      <c r="H20" s="447">
        <f>+E19/I19-H19</f>
        <v>1.916047095290585E-11</v>
      </c>
      <c r="I20" s="462"/>
    </row>
    <row r="21" spans="2:14" ht="17.5" thickTop="1" x14ac:dyDescent="0.4">
      <c r="B21" s="449" t="s">
        <v>138</v>
      </c>
      <c r="C21" s="450"/>
      <c r="D21" s="450"/>
      <c r="E21" s="450"/>
      <c r="F21" s="451"/>
    </row>
    <row r="22" spans="2:14" ht="17" x14ac:dyDescent="0.4">
      <c r="B22" s="452" t="s">
        <v>139</v>
      </c>
      <c r="C22" s="453"/>
      <c r="D22" s="454"/>
      <c r="E22" s="453"/>
      <c r="F22" s="455"/>
    </row>
    <row r="23" spans="2:14" ht="46.5" x14ac:dyDescent="0.35">
      <c r="B23" s="414" t="s">
        <v>643</v>
      </c>
      <c r="C23" s="414" t="str">
        <f t="shared" ref="C23:C29" si="3">+E12</f>
        <v>2023 Amended Rider RRC Filing</v>
      </c>
      <c r="D23" s="31"/>
      <c r="E23" s="414" t="s">
        <v>120</v>
      </c>
      <c r="F23" s="414" t="s">
        <v>130</v>
      </c>
      <c r="G23" s="31"/>
      <c r="H23" s="421" t="str">
        <f>+E23&amp;" Tariff Rates"</f>
        <v>2024 Amended Rider RRC Filing Tariff Rates</v>
      </c>
      <c r="I23" s="421" t="s">
        <v>623</v>
      </c>
      <c r="L23" s="421" t="s">
        <v>669</v>
      </c>
      <c r="M23" s="469" t="s">
        <v>681</v>
      </c>
      <c r="N23" s="469" t="s">
        <v>680</v>
      </c>
    </row>
    <row r="24" spans="2:14" ht="15.5" x14ac:dyDescent="0.35">
      <c r="B24" s="419" t="s">
        <v>105</v>
      </c>
      <c r="C24" s="443">
        <f t="shared" si="3"/>
        <v>-1950839</v>
      </c>
      <c r="D24" s="38"/>
      <c r="E24" s="443">
        <v>-2536091</v>
      </c>
      <c r="F24" s="443">
        <f>+E24-C24</f>
        <v>-585252</v>
      </c>
      <c r="G24" s="31"/>
      <c r="H24" s="457">
        <f>ROUND(E24/I30,6)</f>
        <v>-1.2999999999999999E-4</v>
      </c>
      <c r="I24" s="458"/>
      <c r="L24" s="419" t="s">
        <v>105</v>
      </c>
      <c r="M24" s="457">
        <f t="shared" ref="M24:M29" si="4">+H24-H13</f>
        <v>-2.9999999999999984E-5</v>
      </c>
      <c r="N24" s="457">
        <f>ROUND(M24*1.06625,6)</f>
        <v>-3.1999999999999999E-5</v>
      </c>
    </row>
    <row r="25" spans="2:14" ht="15.5" x14ac:dyDescent="0.35">
      <c r="B25" s="416" t="s">
        <v>107</v>
      </c>
      <c r="C25" s="444">
        <f t="shared" si="3"/>
        <v>45317997</v>
      </c>
      <c r="D25" s="38"/>
      <c r="E25" s="444">
        <v>48614915</v>
      </c>
      <c r="F25" s="444">
        <f>+E25-C25</f>
        <v>3296918</v>
      </c>
      <c r="G25" s="31"/>
      <c r="H25" s="459">
        <f>ROUND(E25/I30,6)</f>
        <v>2.4919999999999999E-3</v>
      </c>
      <c r="I25" s="460"/>
      <c r="L25" s="416" t="s">
        <v>107</v>
      </c>
      <c r="M25" s="459">
        <f t="shared" si="4"/>
        <v>1.6899999999999988E-4</v>
      </c>
      <c r="N25" s="459">
        <f t="shared" ref="N25:N29" si="5">ROUND(M25*1.06625,6)</f>
        <v>1.8000000000000001E-4</v>
      </c>
    </row>
    <row r="26" spans="2:14" ht="15.5" x14ac:dyDescent="0.35">
      <c r="B26" s="417" t="s">
        <v>126</v>
      </c>
      <c r="C26" s="444">
        <f t="shared" si="3"/>
        <v>14689820</v>
      </c>
      <c r="D26" s="38"/>
      <c r="E26" s="444">
        <v>26160755</v>
      </c>
      <c r="F26" s="444">
        <f t="shared" ref="F26:F29" si="6">+E26-C26</f>
        <v>11470935</v>
      </c>
      <c r="G26" s="31"/>
      <c r="H26" s="459">
        <f>ROUND(E26/I30,6)</f>
        <v>1.341E-3</v>
      </c>
      <c r="I26" s="460"/>
      <c r="L26" s="417" t="s">
        <v>126</v>
      </c>
      <c r="M26" s="459">
        <f t="shared" si="4"/>
        <v>5.8799999999999998E-4</v>
      </c>
      <c r="N26" s="459">
        <f t="shared" si="5"/>
        <v>6.2699999999999995E-4</v>
      </c>
    </row>
    <row r="27" spans="2:14" ht="15.5" x14ac:dyDescent="0.35">
      <c r="B27" s="417" t="s">
        <v>127</v>
      </c>
      <c r="C27" s="444">
        <f t="shared" si="3"/>
        <v>6379245</v>
      </c>
      <c r="D27" s="38"/>
      <c r="E27" s="444">
        <v>11548969</v>
      </c>
      <c r="F27" s="444">
        <f t="shared" si="6"/>
        <v>5169724</v>
      </c>
      <c r="G27" s="31"/>
      <c r="H27" s="459">
        <f>ROUND(E27/I30,6)</f>
        <v>5.9199999999999997E-4</v>
      </c>
      <c r="I27" s="460"/>
      <c r="L27" s="417" t="s">
        <v>110</v>
      </c>
      <c r="M27" s="459">
        <f t="shared" si="4"/>
        <v>2.6499999999999999E-4</v>
      </c>
      <c r="N27" s="459">
        <f t="shared" si="5"/>
        <v>2.8299999999999999E-4</v>
      </c>
    </row>
    <row r="28" spans="2:14" ht="15.5" x14ac:dyDescent="0.35">
      <c r="B28" s="417" t="s">
        <v>112</v>
      </c>
      <c r="C28" s="444">
        <f t="shared" si="3"/>
        <v>40421391</v>
      </c>
      <c r="D28" s="38"/>
      <c r="E28" s="444">
        <v>53901690</v>
      </c>
      <c r="F28" s="444">
        <f t="shared" si="6"/>
        <v>13480299</v>
      </c>
      <c r="G28" s="31"/>
      <c r="H28" s="459">
        <f>ROUND(E28/I30,6)</f>
        <v>2.7629999999999998E-3</v>
      </c>
      <c r="I28" s="460"/>
      <c r="L28" s="417" t="s">
        <v>668</v>
      </c>
      <c r="M28" s="459">
        <f t="shared" si="4"/>
        <v>6.9099999999999977E-4</v>
      </c>
      <c r="N28" s="459">
        <f t="shared" si="5"/>
        <v>7.3700000000000002E-4</v>
      </c>
    </row>
    <row r="29" spans="2:14" ht="15.5" x14ac:dyDescent="0.35">
      <c r="B29" s="420" t="s">
        <v>114</v>
      </c>
      <c r="C29" s="444">
        <f t="shared" si="3"/>
        <v>24970743</v>
      </c>
      <c r="D29" s="38"/>
      <c r="E29" s="444">
        <v>53999232</v>
      </c>
      <c r="F29" s="444">
        <f t="shared" si="6"/>
        <v>29028489</v>
      </c>
      <c r="G29" s="31"/>
      <c r="H29" s="459">
        <f>ROUND(E29/I30,6)</f>
        <v>2.7680000000000001E-3</v>
      </c>
      <c r="I29" s="461"/>
      <c r="L29" s="420" t="s">
        <v>378</v>
      </c>
      <c r="M29" s="459">
        <f t="shared" si="4"/>
        <v>1.488E-3</v>
      </c>
      <c r="N29" s="459">
        <f t="shared" si="5"/>
        <v>1.5870000000000001E-3</v>
      </c>
    </row>
    <row r="30" spans="2:14" ht="16" thickBot="1" x14ac:dyDescent="0.4">
      <c r="B30" s="418" t="s">
        <v>128</v>
      </c>
      <c r="C30" s="412">
        <f>SUM(C24:C29)</f>
        <v>129828357</v>
      </c>
      <c r="D30" s="38"/>
      <c r="E30" s="412">
        <f>SUM(E24:E29)</f>
        <v>191689470</v>
      </c>
      <c r="F30" s="412">
        <f>SUM(F24:F29)</f>
        <v>61861113</v>
      </c>
      <c r="G30" s="31"/>
      <c r="H30" s="447">
        <f>SUM(H24:H29)</f>
        <v>9.8259999999999997E-3</v>
      </c>
      <c r="I30" s="448">
        <v>19508393182</v>
      </c>
      <c r="L30" s="507" t="s">
        <v>149</v>
      </c>
      <c r="M30" s="447">
        <f>SUM(M24:M29)</f>
        <v>3.1709999999999993E-3</v>
      </c>
      <c r="N30" s="479">
        <f>SUM(N24:N29)</f>
        <v>3.382E-3</v>
      </c>
    </row>
    <row r="31" spans="2:14" ht="16.5" thickTop="1" thickBot="1" x14ac:dyDescent="0.4">
      <c r="B31" s="4"/>
      <c r="C31" s="425"/>
      <c r="D31" s="38"/>
      <c r="E31" s="425"/>
      <c r="F31" s="425"/>
      <c r="G31" s="31"/>
      <c r="H31" s="447">
        <f>+E30/I30-H30</f>
        <v>-7.2088560815197766E-11</v>
      </c>
      <c r="I31" s="462"/>
    </row>
    <row r="32" spans="2:14" ht="17.5" thickTop="1" x14ac:dyDescent="0.4">
      <c r="B32" s="449" t="s">
        <v>140</v>
      </c>
      <c r="C32" s="450"/>
      <c r="D32" s="450"/>
      <c r="E32" s="450"/>
      <c r="F32" s="451"/>
    </row>
    <row r="33" spans="1:15" ht="27" customHeight="1" x14ac:dyDescent="0.4">
      <c r="B33" s="466" t="s">
        <v>142</v>
      </c>
      <c r="C33" s="453"/>
      <c r="D33" s="454"/>
      <c r="E33" s="453"/>
      <c r="F33" s="455"/>
      <c r="O33" s="515" t="s">
        <v>141</v>
      </c>
    </row>
    <row r="34" spans="1:15" ht="46.5" x14ac:dyDescent="0.35">
      <c r="B34" s="414" t="s">
        <v>643</v>
      </c>
      <c r="C34" s="467" t="str">
        <f t="shared" ref="C34:C40" si="7">+E23</f>
        <v>2024 Amended Rider RRC Filing</v>
      </c>
      <c r="D34" s="462"/>
      <c r="E34" s="467" t="s">
        <v>642</v>
      </c>
      <c r="F34" s="467" t="s">
        <v>130</v>
      </c>
      <c r="G34" s="468"/>
      <c r="H34" s="469" t="str">
        <f>+E34&amp;" Tariff Rates"</f>
        <v>Proposed     2025 Rider RRC Filing Tariff Rates</v>
      </c>
      <c r="I34" s="469" t="s">
        <v>623</v>
      </c>
      <c r="L34" s="421" t="s">
        <v>669</v>
      </c>
      <c r="M34" s="469" t="s">
        <v>682</v>
      </c>
      <c r="N34" s="469" t="s">
        <v>683</v>
      </c>
    </row>
    <row r="35" spans="1:15" ht="15.5" x14ac:dyDescent="0.35">
      <c r="B35" s="470" t="s">
        <v>105</v>
      </c>
      <c r="C35" s="471">
        <f t="shared" si="7"/>
        <v>-2536091</v>
      </c>
      <c r="D35" s="472"/>
      <c r="E35" s="471">
        <f>+'RRC Component Rates (RRC-1 p1)'!F26</f>
        <v>-2076975</v>
      </c>
      <c r="F35" s="471">
        <f>+E35-C35</f>
        <v>459116</v>
      </c>
      <c r="G35" s="462"/>
      <c r="H35" s="457">
        <f>ROUND(E35/I41,6)</f>
        <v>-1.06E-4</v>
      </c>
      <c r="I35" s="458"/>
      <c r="J35" s="422">
        <f>+E35-'RRC Component Rates (RRC-1 p1)'!F26</f>
        <v>0</v>
      </c>
      <c r="K35" s="422">
        <f>+F35-'RRC Component Rates (RRC-1 p1)'!J26</f>
        <v>0</v>
      </c>
      <c r="L35" s="419" t="s">
        <v>105</v>
      </c>
      <c r="M35" s="457">
        <f t="shared" ref="M35:M40" si="8">+H35-H24</f>
        <v>2.3999999999999987E-5</v>
      </c>
      <c r="N35" s="457">
        <f>ROUND(M35*1.06625,6)</f>
        <v>2.5999999999999998E-5</v>
      </c>
    </row>
    <row r="36" spans="1:15" ht="15.5" x14ac:dyDescent="0.35">
      <c r="B36" s="473" t="s">
        <v>107</v>
      </c>
      <c r="C36" s="474">
        <f t="shared" si="7"/>
        <v>48614915</v>
      </c>
      <c r="D36" s="472"/>
      <c r="E36" s="474">
        <f>+'RRC Component Rates (RRC-1 p1)'!F27</f>
        <v>83333707</v>
      </c>
      <c r="F36" s="474">
        <f>+E36-C36</f>
        <v>34718792</v>
      </c>
      <c r="G36" s="462"/>
      <c r="H36" s="459">
        <f>ROUND(E36/I41,6)</f>
        <v>4.2529999999999998E-3</v>
      </c>
      <c r="I36" s="460"/>
      <c r="J36" s="422">
        <f>+E36-'RRC Component Rates (RRC-1 p1)'!F27</f>
        <v>0</v>
      </c>
      <c r="K36" s="422">
        <f>+F36-'RRC Component Rates (RRC-1 p1)'!J27</f>
        <v>0</v>
      </c>
      <c r="L36" s="416" t="s">
        <v>107</v>
      </c>
      <c r="M36" s="459">
        <f t="shared" si="8"/>
        <v>1.761E-3</v>
      </c>
      <c r="N36" s="459">
        <f t="shared" ref="N36:N40" si="9">ROUND(M36*1.06625,6)</f>
        <v>1.8779999999999999E-3</v>
      </c>
    </row>
    <row r="37" spans="1:15" ht="15.5" x14ac:dyDescent="0.35">
      <c r="B37" s="475" t="s">
        <v>126</v>
      </c>
      <c r="C37" s="474">
        <f t="shared" si="7"/>
        <v>26160755</v>
      </c>
      <c r="D37" s="472"/>
      <c r="E37" s="474">
        <f>+'RRC Component Rates (RRC-1 p1)'!F28</f>
        <v>73869757</v>
      </c>
      <c r="F37" s="474">
        <f t="shared" ref="F37:F40" si="10">+E37-C37</f>
        <v>47709002</v>
      </c>
      <c r="G37" s="462"/>
      <c r="H37" s="459">
        <f>ROUND(E37/I41,6)</f>
        <v>3.7699999999999999E-3</v>
      </c>
      <c r="I37" s="460"/>
      <c r="J37" s="422">
        <f>+E37-'RRC Component Rates (RRC-1 p1)'!F28</f>
        <v>0</v>
      </c>
      <c r="K37" s="422">
        <f>+F37-'RRC Component Rates (RRC-1 p1)'!J28</f>
        <v>0</v>
      </c>
      <c r="L37" s="417" t="s">
        <v>126</v>
      </c>
      <c r="M37" s="459">
        <f t="shared" si="8"/>
        <v>2.4289999999999997E-3</v>
      </c>
      <c r="N37" s="459">
        <f t="shared" si="9"/>
        <v>2.5899999999999999E-3</v>
      </c>
    </row>
    <row r="38" spans="1:15" ht="15.5" x14ac:dyDescent="0.35">
      <c r="B38" s="475" t="s">
        <v>127</v>
      </c>
      <c r="C38" s="474">
        <f t="shared" si="7"/>
        <v>11548969</v>
      </c>
      <c r="D38" s="472"/>
      <c r="E38" s="474">
        <f>+'RRC Component Rates (RRC-1 p1)'!F29</f>
        <v>21122440</v>
      </c>
      <c r="F38" s="474">
        <f t="shared" si="10"/>
        <v>9573471</v>
      </c>
      <c r="G38" s="462"/>
      <c r="H38" s="459">
        <f>ROUND(E38/I41,6)</f>
        <v>1.078E-3</v>
      </c>
      <c r="I38" s="460"/>
      <c r="J38" s="422">
        <f>+E38-'RRC Component Rates (RRC-1 p1)'!F29</f>
        <v>0</v>
      </c>
      <c r="K38" s="422">
        <f>+F38-'RRC Component Rates (RRC-1 p1)'!J29</f>
        <v>0</v>
      </c>
      <c r="L38" s="417" t="s">
        <v>110</v>
      </c>
      <c r="M38" s="459">
        <f t="shared" si="8"/>
        <v>4.86E-4</v>
      </c>
      <c r="N38" s="459">
        <f t="shared" si="9"/>
        <v>5.1800000000000001E-4</v>
      </c>
    </row>
    <row r="39" spans="1:15" ht="15.5" x14ac:dyDescent="0.35">
      <c r="B39" s="475" t="s">
        <v>112</v>
      </c>
      <c r="C39" s="474">
        <f t="shared" si="7"/>
        <v>53901690</v>
      </c>
      <c r="D39" s="472"/>
      <c r="E39" s="474">
        <f>+'RRC Component Rates (RRC-1 p1)'!F30</f>
        <v>80277028</v>
      </c>
      <c r="F39" s="474">
        <f t="shared" si="10"/>
        <v>26375338</v>
      </c>
      <c r="G39" s="462"/>
      <c r="H39" s="459">
        <f>ROUND(E39/I41,6)</f>
        <v>4.0969999999999999E-3</v>
      </c>
      <c r="I39" s="460"/>
      <c r="J39" s="422">
        <f>+E39-'RRC Component Rates (RRC-1 p1)'!F30</f>
        <v>0</v>
      </c>
      <c r="K39" s="422">
        <f>+F39-'RRC Component Rates (RRC-1 p1)'!J30</f>
        <v>0</v>
      </c>
      <c r="L39" s="417" t="s">
        <v>668</v>
      </c>
      <c r="M39" s="459">
        <f t="shared" si="8"/>
        <v>1.3340000000000001E-3</v>
      </c>
      <c r="N39" s="459">
        <f t="shared" si="9"/>
        <v>1.4220000000000001E-3</v>
      </c>
    </row>
    <row r="40" spans="1:15" ht="15.5" x14ac:dyDescent="0.35">
      <c r="B40" s="476" t="s">
        <v>114</v>
      </c>
      <c r="C40" s="474">
        <f t="shared" si="7"/>
        <v>53999232</v>
      </c>
      <c r="D40" s="472"/>
      <c r="E40" s="474">
        <f>+'RRC Component Rates (RRC-1 p1)'!F31</f>
        <v>71694812</v>
      </c>
      <c r="F40" s="474">
        <f t="shared" si="10"/>
        <v>17695580</v>
      </c>
      <c r="G40" s="462"/>
      <c r="H40" s="459">
        <f>ROUND(E40/I41,6)</f>
        <v>3.6589999999999999E-3</v>
      </c>
      <c r="I40" s="460"/>
      <c r="J40" s="422">
        <f>+E40-'RRC Component Rates (RRC-1 p1)'!F31</f>
        <v>0</v>
      </c>
      <c r="K40" s="422">
        <f>+F40-'RRC Component Rates (RRC-1 p1)'!J31</f>
        <v>0</v>
      </c>
      <c r="L40" s="420" t="s">
        <v>378</v>
      </c>
      <c r="M40" s="459">
        <f t="shared" si="8"/>
        <v>8.9099999999999987E-4</v>
      </c>
      <c r="N40" s="459">
        <f t="shared" si="9"/>
        <v>9.5E-4</v>
      </c>
    </row>
    <row r="41" spans="1:15" ht="16" thickBot="1" x14ac:dyDescent="0.4">
      <c r="B41" s="477" t="s">
        <v>128</v>
      </c>
      <c r="C41" s="478">
        <f>SUM(C35:C40)</f>
        <v>191689470</v>
      </c>
      <c r="D41" s="472"/>
      <c r="E41" s="478">
        <f>SUM(E35:E40)</f>
        <v>328220769</v>
      </c>
      <c r="F41" s="478">
        <f>SUM(F35:F40)</f>
        <v>136531299</v>
      </c>
      <c r="G41" s="462"/>
      <c r="H41" s="447">
        <f>SUM(H35:H40)</f>
        <v>1.6750999999999999E-2</v>
      </c>
      <c r="I41" s="448">
        <f>+'Rate Calculation (EE&amp;C-1_p5)'!C23*1000</f>
        <v>19594100021</v>
      </c>
      <c r="J41" s="422">
        <f>+E41-'RRC Component Rates (RRC-1 p1)'!F32</f>
        <v>0</v>
      </c>
      <c r="K41" s="422">
        <f>+F41-'RRC Component Rates (RRC-1 p1)'!J32</f>
        <v>0</v>
      </c>
      <c r="L41" s="507" t="s">
        <v>149</v>
      </c>
      <c r="M41" s="447">
        <f>SUM(M35:M40)</f>
        <v>6.9250000000000006E-3</v>
      </c>
      <c r="N41" s="479">
        <f>SUM(N35:N40)</f>
        <v>7.3840000000000008E-3</v>
      </c>
    </row>
    <row r="42" spans="1:15" ht="16.5" thickTop="1" thickBot="1" x14ac:dyDescent="0.4">
      <c r="B42" s="440" t="s">
        <v>634</v>
      </c>
      <c r="C42" s="424"/>
      <c r="D42" s="38"/>
      <c r="E42" s="442"/>
      <c r="F42" s="412">
        <f>+F52</f>
        <v>-380109.83200986683</v>
      </c>
      <c r="G42" s="456"/>
      <c r="H42" s="442"/>
      <c r="I42" s="445"/>
      <c r="J42" s="422"/>
      <c r="K42" s="422"/>
      <c r="L42" s="422"/>
      <c r="M42" s="422"/>
    </row>
    <row r="43" spans="1:15" ht="16.5" thickTop="1" thickBot="1" x14ac:dyDescent="0.4">
      <c r="B43" s="441" t="s">
        <v>143</v>
      </c>
      <c r="C43" s="423"/>
      <c r="D43" s="38"/>
      <c r="E43" s="424"/>
      <c r="F43" s="412">
        <f>+F19+F30+F41+F42</f>
        <v>241320935.16799015</v>
      </c>
      <c r="G43" s="31"/>
      <c r="H43" s="157">
        <f>+H41</f>
        <v>1.6750999999999999E-2</v>
      </c>
      <c r="I43" s="445"/>
      <c r="J43" s="422"/>
      <c r="K43" s="422"/>
      <c r="L43" s="522" t="s">
        <v>674</v>
      </c>
      <c r="M43" s="447">
        <f>+M19+M30+M41</f>
        <v>1.6751000000000002E-2</v>
      </c>
      <c r="N43" s="447">
        <f>+N19+N30+N41</f>
        <v>1.7861999999999999E-2</v>
      </c>
    </row>
    <row r="44" spans="1:15" ht="9" customHeight="1" thickTop="1" x14ac:dyDescent="0.35">
      <c r="F44" s="422"/>
    </row>
    <row r="45" spans="1:15" ht="16" thickBot="1" x14ac:dyDescent="0.4">
      <c r="A45" s="20" t="s">
        <v>144</v>
      </c>
      <c r="B45" s="4" t="s">
        <v>657</v>
      </c>
      <c r="M45" s="479" t="s">
        <v>687</v>
      </c>
      <c r="N45" s="479">
        <f>ROUND(M43*1.06625,6)</f>
        <v>1.7860999999999998E-2</v>
      </c>
    </row>
    <row r="46" spans="1:15" ht="15.5" thickTop="1" thickBot="1" x14ac:dyDescent="0.4">
      <c r="A46" s="2" t="s">
        <v>633</v>
      </c>
      <c r="B46" s="3" t="s">
        <v>637</v>
      </c>
      <c r="M46" s="479" t="s">
        <v>686</v>
      </c>
      <c r="N46" s="479">
        <f>+N43-N45</f>
        <v>1.0000000000010001E-6</v>
      </c>
    </row>
    <row r="47" spans="1:15" ht="16" thickTop="1" x14ac:dyDescent="0.35">
      <c r="A47" s="31"/>
      <c r="B47" s="343"/>
      <c r="C47" s="343"/>
      <c r="E47" s="343" t="s">
        <v>238</v>
      </c>
      <c r="F47" s="343" t="s">
        <v>631</v>
      </c>
    </row>
    <row r="48" spans="1:15" ht="15.5" x14ac:dyDescent="0.35">
      <c r="A48" s="31"/>
      <c r="B48" s="408" t="s">
        <v>635</v>
      </c>
      <c r="C48" s="408" t="s">
        <v>622</v>
      </c>
      <c r="E48" s="408" t="s">
        <v>626</v>
      </c>
      <c r="F48" s="408" t="s">
        <v>632</v>
      </c>
    </row>
    <row r="49" spans="1:6" ht="15.5" x14ac:dyDescent="0.35">
      <c r="A49" s="31"/>
      <c r="B49" s="408" t="s">
        <v>627</v>
      </c>
      <c r="C49" s="408" t="s">
        <v>628</v>
      </c>
      <c r="E49" s="408" t="s">
        <v>629</v>
      </c>
      <c r="F49" s="408" t="s">
        <v>630</v>
      </c>
    </row>
    <row r="50" spans="1:6" ht="15.5" x14ac:dyDescent="0.35">
      <c r="A50" s="31"/>
      <c r="B50" s="464" t="s">
        <v>636</v>
      </c>
      <c r="C50" s="446">
        <f>+I30</f>
        <v>19508393182</v>
      </c>
      <c r="E50" s="156">
        <f>+C19/C50</f>
        <v>4.4350000121911627E-3</v>
      </c>
      <c r="F50" s="443">
        <f>+C50*E50</f>
        <v>86519724</v>
      </c>
    </row>
    <row r="51" spans="1:6" ht="15.5" x14ac:dyDescent="0.35">
      <c r="A51" s="31"/>
      <c r="B51" s="464" t="s">
        <v>638</v>
      </c>
      <c r="C51" s="446">
        <f>+I41</f>
        <v>19594100021</v>
      </c>
      <c r="E51" s="156">
        <f>+E50</f>
        <v>4.4350000121911627E-3</v>
      </c>
      <c r="F51" s="444">
        <f>+C51*E51</f>
        <v>86899833.832009867</v>
      </c>
    </row>
    <row r="52" spans="1:6" ht="16" thickBot="1" x14ac:dyDescent="0.4">
      <c r="A52" s="31"/>
      <c r="B52" s="465" t="s">
        <v>639</v>
      </c>
      <c r="C52" s="439">
        <f>+C50-C51</f>
        <v>-85706839</v>
      </c>
      <c r="D52" s="3"/>
      <c r="E52" s="157">
        <f>+E51</f>
        <v>4.4350000121911627E-3</v>
      </c>
      <c r="F52" s="412">
        <f>+F50-F51</f>
        <v>-380109.83200986683</v>
      </c>
    </row>
    <row r="53" spans="1:6" ht="15" thickTop="1" x14ac:dyDescent="0.35">
      <c r="A53" s="1"/>
    </row>
    <row r="54" spans="1:6" ht="46.5" x14ac:dyDescent="0.35">
      <c r="A54" s="1"/>
      <c r="E54" s="421" t="s">
        <v>669</v>
      </c>
      <c r="F54" s="421" t="s">
        <v>667</v>
      </c>
    </row>
    <row r="55" spans="1:6" ht="15.5" x14ac:dyDescent="0.35">
      <c r="E55" s="419" t="s">
        <v>105</v>
      </c>
      <c r="F55" s="443">
        <f>'RRC Component Rates (RRC-1 p1)'!C26-C13</f>
        <v>600</v>
      </c>
    </row>
    <row r="56" spans="1:6" ht="15.5" x14ac:dyDescent="0.35">
      <c r="E56" s="416" t="s">
        <v>107</v>
      </c>
      <c r="F56" s="444">
        <f>'RRC Component Rates (RRC-1 p1)'!C27-C14</f>
        <v>168414</v>
      </c>
    </row>
    <row r="57" spans="1:6" ht="15.5" x14ac:dyDescent="0.35">
      <c r="E57" s="417" t="s">
        <v>126</v>
      </c>
      <c r="F57" s="444">
        <f>'RRC Component Rates (RRC-1 p1)'!C28-C15</f>
        <v>21769</v>
      </c>
    </row>
    <row r="58" spans="1:6" ht="15.5" x14ac:dyDescent="0.35">
      <c r="E58" s="417" t="s">
        <v>110</v>
      </c>
      <c r="F58" s="444">
        <f>'RRC Component Rates (RRC-1 p1)'!C29-C16</f>
        <v>0</v>
      </c>
    </row>
    <row r="59" spans="1:6" ht="15.5" x14ac:dyDescent="0.35">
      <c r="E59" s="417" t="s">
        <v>668</v>
      </c>
      <c r="F59" s="444">
        <f>'RRC Component Rates (RRC-1 p1)'!C30-C17</f>
        <v>79622</v>
      </c>
    </row>
    <row r="60" spans="1:6" ht="15.5" x14ac:dyDescent="0.35">
      <c r="E60" s="420" t="s">
        <v>378</v>
      </c>
      <c r="F60" s="444">
        <f>'RRC Component Rates (RRC-1 p1)'!C31-C18</f>
        <v>109705</v>
      </c>
    </row>
    <row r="61" spans="1:6" ht="16" thickBot="1" x14ac:dyDescent="0.4">
      <c r="E61" s="507" t="s">
        <v>149</v>
      </c>
      <c r="F61" s="412">
        <f>'RRC Component Rates (RRC-1 p1)'!C32-C19</f>
        <v>380110</v>
      </c>
    </row>
    <row r="62" spans="1:6" ht="16" thickTop="1" x14ac:dyDescent="0.35">
      <c r="F62" s="508">
        <f>SUM(F55:F60)-F61</f>
        <v>0</v>
      </c>
    </row>
  </sheetData>
  <printOptions horizontalCentered="1" verticalCentered="1"/>
  <pageMargins left="0.25" right="0.25" top="0.25" bottom="0.25" header="0.3" footer="0.3"/>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47CE5-4DE7-4485-924C-0E779858AE1C}">
  <sheetPr codeName="Sheet3">
    <pageSetUpPr fitToPage="1"/>
  </sheetPr>
  <dimension ref="A1:R50"/>
  <sheetViews>
    <sheetView zoomScaleNormal="100" zoomScaleSheetLayoutView="100" workbookViewId="0">
      <selection activeCell="H4" sqref="H4"/>
    </sheetView>
  </sheetViews>
  <sheetFormatPr defaultRowHeight="14.5" x14ac:dyDescent="0.35"/>
  <cols>
    <col min="1" max="1" width="9.1796875" bestFit="1" customWidth="1"/>
    <col min="2" max="2" width="7.7265625" bestFit="1" customWidth="1"/>
    <col min="3" max="3" width="5.54296875" bestFit="1" customWidth="1"/>
    <col min="4" max="7" width="16.54296875" customWidth="1"/>
    <col min="8" max="8" width="17.26953125" customWidth="1"/>
    <col min="9" max="9" width="9.1796875" customWidth="1"/>
    <col min="10" max="10" width="3.7265625" customWidth="1"/>
    <col min="11" max="11" width="14" bestFit="1" customWidth="1"/>
    <col min="12" max="12" width="6.1796875" bestFit="1" customWidth="1"/>
  </cols>
  <sheetData>
    <row r="1" spans="1:18" ht="18.5" x14ac:dyDescent="0.45">
      <c r="B1" s="306"/>
      <c r="I1" s="113" t="s">
        <v>145</v>
      </c>
      <c r="J1" s="19"/>
    </row>
    <row r="2" spans="1:18" ht="18.5" x14ac:dyDescent="0.45">
      <c r="I2" s="113" t="s">
        <v>146</v>
      </c>
      <c r="J2" s="19"/>
    </row>
    <row r="3" spans="1:18" x14ac:dyDescent="0.35">
      <c r="H3" s="17"/>
    </row>
    <row r="4" spans="1:18" ht="18.5" x14ac:dyDescent="0.45">
      <c r="B4" s="149" t="s">
        <v>109</v>
      </c>
      <c r="C4" s="47"/>
      <c r="D4" s="40"/>
      <c r="E4" s="40"/>
      <c r="F4" s="40"/>
      <c r="G4" s="40"/>
      <c r="H4" s="40"/>
    </row>
    <row r="5" spans="1:18" ht="18.5" x14ac:dyDescent="0.45">
      <c r="B5" s="149" t="s">
        <v>147</v>
      </c>
      <c r="C5" s="41"/>
      <c r="D5" s="40"/>
      <c r="E5" s="40"/>
      <c r="F5" s="40"/>
      <c r="G5" s="40"/>
      <c r="H5" s="40"/>
    </row>
    <row r="6" spans="1:18" ht="18.5" x14ac:dyDescent="0.45">
      <c r="B6" s="149" t="s">
        <v>148</v>
      </c>
      <c r="C6" s="41"/>
      <c r="D6" s="40"/>
      <c r="E6" s="40"/>
      <c r="F6" s="40"/>
      <c r="G6" s="40"/>
      <c r="H6" s="40"/>
    </row>
    <row r="8" spans="1:18" x14ac:dyDescent="0.35">
      <c r="R8" s="5"/>
    </row>
    <row r="9" spans="1:18" ht="15.5" hidden="1" x14ac:dyDescent="0.35">
      <c r="B9" s="20"/>
      <c r="C9" s="20"/>
      <c r="D9" s="20"/>
      <c r="E9" s="20"/>
      <c r="F9" s="20"/>
      <c r="G9" s="20"/>
      <c r="H9" s="20" t="s">
        <v>149</v>
      </c>
      <c r="R9" s="5"/>
    </row>
    <row r="10" spans="1:18" ht="15.5" hidden="1" x14ac:dyDescent="0.35">
      <c r="A10" s="20"/>
      <c r="B10" s="20"/>
      <c r="C10" s="20"/>
      <c r="D10" s="20" t="s">
        <v>150</v>
      </c>
      <c r="E10" s="20" t="s">
        <v>151</v>
      </c>
      <c r="F10" s="20" t="s">
        <v>152</v>
      </c>
      <c r="G10" s="20" t="s">
        <v>153</v>
      </c>
      <c r="H10" s="20" t="s">
        <v>154</v>
      </c>
      <c r="R10" s="5"/>
    </row>
    <row r="11" spans="1:18" ht="15.5" hidden="1" x14ac:dyDescent="0.35">
      <c r="A11" s="20"/>
      <c r="B11" s="21" t="s">
        <v>155</v>
      </c>
      <c r="C11" s="21" t="s">
        <v>156</v>
      </c>
      <c r="D11" s="21" t="s">
        <v>157</v>
      </c>
      <c r="E11" s="21" t="s">
        <v>157</v>
      </c>
      <c r="F11" s="21" t="s">
        <v>157</v>
      </c>
      <c r="G11" s="21" t="s">
        <v>158</v>
      </c>
      <c r="H11" s="21" t="s">
        <v>159</v>
      </c>
      <c r="I11" s="21" t="s">
        <v>160</v>
      </c>
      <c r="K11" s="39" t="s">
        <v>161</v>
      </c>
      <c r="L11" s="39"/>
      <c r="R11" s="5"/>
    </row>
    <row r="12" spans="1:18" ht="15.5" hidden="1" x14ac:dyDescent="0.35">
      <c r="A12" s="1"/>
      <c r="B12" s="22" t="s">
        <v>162</v>
      </c>
      <c r="C12" s="123">
        <v>2024</v>
      </c>
      <c r="D12" s="51">
        <v>521463.01</v>
      </c>
      <c r="E12" s="119">
        <v>445457.94</v>
      </c>
      <c r="F12" s="119">
        <v>97576.73</v>
      </c>
      <c r="G12" s="51">
        <f>5228.68-0.01</f>
        <v>5228.67</v>
      </c>
      <c r="H12" s="51">
        <f t="shared" ref="H12:H17" si="0">SUM(D12:G12)</f>
        <v>1069726.3499999999</v>
      </c>
      <c r="K12" s="120">
        <v>1069726.3500000001</v>
      </c>
      <c r="L12" s="13">
        <f>+H12-K12</f>
        <v>0</v>
      </c>
      <c r="R12" s="5"/>
    </row>
    <row r="13" spans="1:18" ht="15.5" hidden="1" x14ac:dyDescent="0.35">
      <c r="A13" s="1"/>
      <c r="B13" s="22" t="s">
        <v>163</v>
      </c>
      <c r="C13" s="123">
        <v>2024</v>
      </c>
      <c r="D13" s="121">
        <v>727953.21</v>
      </c>
      <c r="E13" s="121">
        <v>611083.47</v>
      </c>
      <c r="F13" s="121">
        <v>137232.41</v>
      </c>
      <c r="G13" s="121">
        <f>6402.41+0.01</f>
        <v>6402.42</v>
      </c>
      <c r="H13" s="121">
        <f t="shared" si="0"/>
        <v>1482671.5099999998</v>
      </c>
      <c r="K13" s="120">
        <v>1482671.51</v>
      </c>
      <c r="L13" s="13">
        <f t="shared" ref="L13:L24" si="1">+H13-K13</f>
        <v>0</v>
      </c>
      <c r="R13" s="5"/>
    </row>
    <row r="14" spans="1:18" ht="15.5" hidden="1" x14ac:dyDescent="0.35">
      <c r="A14" s="1"/>
      <c r="B14" s="22" t="s">
        <v>164</v>
      </c>
      <c r="C14" s="123">
        <v>2024</v>
      </c>
      <c r="D14" s="121">
        <v>654395.04</v>
      </c>
      <c r="E14" s="121">
        <v>595604.62</v>
      </c>
      <c r="F14" s="121">
        <v>131269.29999999999</v>
      </c>
      <c r="G14" s="121">
        <v>7028.33</v>
      </c>
      <c r="H14" s="121">
        <f t="shared" si="0"/>
        <v>1388297.2900000003</v>
      </c>
      <c r="K14" s="120">
        <v>1388297.29</v>
      </c>
      <c r="L14" s="13">
        <f t="shared" si="1"/>
        <v>0</v>
      </c>
      <c r="R14" s="5"/>
    </row>
    <row r="15" spans="1:18" ht="15.5" hidden="1" x14ac:dyDescent="0.35">
      <c r="A15" s="1"/>
      <c r="B15" s="22" t="s">
        <v>165</v>
      </c>
      <c r="C15" s="123">
        <v>2024</v>
      </c>
      <c r="D15" s="121">
        <v>573950.52</v>
      </c>
      <c r="E15" s="121">
        <v>576095.06999999995</v>
      </c>
      <c r="F15" s="121">
        <v>135611.12</v>
      </c>
      <c r="G15" s="121">
        <f>6797.21-0.01</f>
        <v>6797.2</v>
      </c>
      <c r="H15" s="121">
        <f t="shared" si="0"/>
        <v>1292453.9099999999</v>
      </c>
      <c r="K15" s="120">
        <v>1292453.9099999999</v>
      </c>
      <c r="L15" s="13">
        <f t="shared" si="1"/>
        <v>0</v>
      </c>
      <c r="R15" s="5"/>
    </row>
    <row r="16" spans="1:18" ht="15.5" hidden="1" x14ac:dyDescent="0.35">
      <c r="A16" s="1"/>
      <c r="B16" s="22" t="s">
        <v>166</v>
      </c>
      <c r="C16" s="123">
        <v>2024</v>
      </c>
      <c r="D16" s="121">
        <v>559009.71</v>
      </c>
      <c r="E16" s="121">
        <v>575532.38</v>
      </c>
      <c r="F16" s="121">
        <v>126991.55</v>
      </c>
      <c r="G16" s="121">
        <v>3708.12</v>
      </c>
      <c r="H16" s="121">
        <f t="shared" si="0"/>
        <v>1265241.76</v>
      </c>
      <c r="K16" s="120">
        <v>1265241.76</v>
      </c>
      <c r="L16" s="13">
        <f t="shared" si="1"/>
        <v>0</v>
      </c>
      <c r="R16" s="5"/>
    </row>
    <row r="17" spans="1:18" ht="15.5" hidden="1" x14ac:dyDescent="0.35">
      <c r="A17" s="1"/>
      <c r="B17" s="22" t="s">
        <v>167</v>
      </c>
      <c r="C17" s="123">
        <v>2024</v>
      </c>
      <c r="D17" s="121">
        <v>763917.69</v>
      </c>
      <c r="E17" s="121">
        <v>634285.68999999994</v>
      </c>
      <c r="F17" s="121">
        <v>136337.97</v>
      </c>
      <c r="G17" s="121">
        <v>6387.71</v>
      </c>
      <c r="H17" s="121">
        <f t="shared" si="0"/>
        <v>1540929.0599999998</v>
      </c>
      <c r="K17" s="120">
        <v>1540929.06</v>
      </c>
      <c r="L17" s="13">
        <f t="shared" si="1"/>
        <v>0</v>
      </c>
      <c r="R17" s="5"/>
    </row>
    <row r="18" spans="1:18" ht="58" hidden="1" x14ac:dyDescent="0.35">
      <c r="A18" s="1"/>
      <c r="B18" s="22" t="s">
        <v>168</v>
      </c>
      <c r="C18" s="123">
        <v>2024</v>
      </c>
      <c r="D18" s="121">
        <v>1150241.73</v>
      </c>
      <c r="E18" s="121">
        <v>725358.03</v>
      </c>
      <c r="F18" s="121">
        <v>135354.78</v>
      </c>
      <c r="G18" s="121">
        <f>10273.8+0.01</f>
        <v>10273.81</v>
      </c>
      <c r="H18" s="121">
        <f t="shared" ref="H18:H24" si="2">SUM(D18:G18)</f>
        <v>2021228.35</v>
      </c>
      <c r="K18" s="120">
        <v>2021228.35</v>
      </c>
      <c r="L18" s="13">
        <f t="shared" si="1"/>
        <v>0</v>
      </c>
      <c r="R18" s="5"/>
    </row>
    <row r="19" spans="1:18" ht="35.5" hidden="1" x14ac:dyDescent="0.35">
      <c r="A19" s="1"/>
      <c r="B19" s="22" t="s">
        <v>169</v>
      </c>
      <c r="C19" s="123">
        <v>2024</v>
      </c>
      <c r="D19" s="121">
        <v>1171379.76</v>
      </c>
      <c r="E19" s="121">
        <v>767890.2</v>
      </c>
      <c r="F19" s="121">
        <v>149079.07</v>
      </c>
      <c r="G19" s="121">
        <v>7138.39</v>
      </c>
      <c r="H19" s="121">
        <f t="shared" si="2"/>
        <v>2095487.42</v>
      </c>
      <c r="K19" s="120">
        <v>2095487.42</v>
      </c>
      <c r="L19" s="13">
        <f t="shared" si="1"/>
        <v>0</v>
      </c>
      <c r="R19" s="5"/>
    </row>
    <row r="20" spans="1:18" ht="30" hidden="1" x14ac:dyDescent="0.35">
      <c r="A20" s="1"/>
      <c r="B20" s="22" t="s">
        <v>170</v>
      </c>
      <c r="C20" s="123">
        <v>2024</v>
      </c>
      <c r="D20" s="121">
        <v>907069.33</v>
      </c>
      <c r="E20" s="121">
        <v>680375.1</v>
      </c>
      <c r="F20" s="121">
        <v>143084.4</v>
      </c>
      <c r="G20" s="121">
        <v>5876.33</v>
      </c>
      <c r="H20" s="121">
        <f t="shared" si="2"/>
        <v>1736405.16</v>
      </c>
      <c r="K20" s="120">
        <v>1736405.16</v>
      </c>
      <c r="L20" s="13">
        <f t="shared" si="1"/>
        <v>0</v>
      </c>
      <c r="R20" s="5"/>
    </row>
    <row r="21" spans="1:18" ht="45" hidden="1" x14ac:dyDescent="0.35">
      <c r="A21" s="1"/>
      <c r="B21" s="22" t="s">
        <v>171</v>
      </c>
      <c r="C21" s="123">
        <v>2024</v>
      </c>
      <c r="D21" s="121">
        <v>612099.03</v>
      </c>
      <c r="E21" s="121">
        <v>598985.65</v>
      </c>
      <c r="F21" s="121">
        <v>144842.23999999999</v>
      </c>
      <c r="G21" s="121">
        <v>7699.58</v>
      </c>
      <c r="H21" s="121">
        <f t="shared" si="2"/>
        <v>1363626.5000000002</v>
      </c>
      <c r="K21" s="120">
        <v>1363626.5</v>
      </c>
      <c r="L21" s="13">
        <f t="shared" si="1"/>
        <v>0</v>
      </c>
      <c r="R21" s="5"/>
    </row>
    <row r="22" spans="1:18" ht="32" hidden="1" x14ac:dyDescent="0.35">
      <c r="A22" s="1"/>
      <c r="B22" s="22" t="s">
        <v>172</v>
      </c>
      <c r="C22" s="123">
        <v>2024</v>
      </c>
      <c r="D22" s="121">
        <v>538615.41</v>
      </c>
      <c r="E22" s="121">
        <v>568750.67000000004</v>
      </c>
      <c r="F22" s="121">
        <v>127053.86</v>
      </c>
      <c r="G22" s="121">
        <f>6887.46+0.01</f>
        <v>6887.47</v>
      </c>
      <c r="H22" s="121">
        <f t="shared" si="2"/>
        <v>1241307.4100000001</v>
      </c>
      <c r="K22" s="120">
        <v>1241307.4099999999</v>
      </c>
      <c r="L22" s="13">
        <f t="shared" si="1"/>
        <v>0</v>
      </c>
      <c r="R22" s="5"/>
    </row>
    <row r="23" spans="1:18" ht="52.5" hidden="1" x14ac:dyDescent="0.35">
      <c r="A23" s="1"/>
      <c r="B23" s="22" t="s">
        <v>173</v>
      </c>
      <c r="C23" s="123">
        <v>2024</v>
      </c>
      <c r="D23" s="122">
        <v>657666.11</v>
      </c>
      <c r="E23" s="122">
        <v>608758.52</v>
      </c>
      <c r="F23" s="122">
        <v>133263.57</v>
      </c>
      <c r="G23" s="122">
        <f>1990.77-0.01</f>
        <v>1990.76</v>
      </c>
      <c r="H23" s="121">
        <f t="shared" si="2"/>
        <v>1401678.96</v>
      </c>
      <c r="K23" s="120">
        <v>1401678.96</v>
      </c>
      <c r="L23" s="13">
        <f t="shared" si="1"/>
        <v>0</v>
      </c>
      <c r="R23" s="5"/>
    </row>
    <row r="24" spans="1:18" ht="32.5" hidden="1" thickBot="1" x14ac:dyDescent="0.4">
      <c r="B24" s="243" t="s">
        <v>116</v>
      </c>
      <c r="C24" s="243">
        <f>+C23</f>
        <v>2024</v>
      </c>
      <c r="D24" s="244">
        <f>SUM(D12:D23)</f>
        <v>8837760.5500000007</v>
      </c>
      <c r="E24" s="244">
        <f>SUM(E12:E23)</f>
        <v>7388177.3399999999</v>
      </c>
      <c r="F24" s="244">
        <f>SUM(F12:F23)</f>
        <v>1597697</v>
      </c>
      <c r="G24" s="244">
        <f>SUM(G12:G23)</f>
        <v>75418.789999999994</v>
      </c>
      <c r="H24" s="244">
        <f t="shared" si="2"/>
        <v>17899053.68</v>
      </c>
      <c r="K24" s="245">
        <f>SUM(K12:K23)</f>
        <v>17899053.68</v>
      </c>
      <c r="L24" s="13">
        <f t="shared" si="1"/>
        <v>0</v>
      </c>
      <c r="R24" s="5"/>
    </row>
    <row r="25" spans="1:18" x14ac:dyDescent="0.35">
      <c r="R25" s="5"/>
    </row>
    <row r="26" spans="1:18" ht="15.5" x14ac:dyDescent="0.35">
      <c r="B26" s="20"/>
      <c r="C26" s="20"/>
      <c r="D26" s="20"/>
      <c r="E26" s="20"/>
      <c r="F26" s="20"/>
      <c r="G26" s="20"/>
      <c r="H26" s="20" t="s">
        <v>149</v>
      </c>
      <c r="R26" s="5"/>
    </row>
    <row r="27" spans="1:18" ht="15.5" x14ac:dyDescent="0.35">
      <c r="B27" s="20"/>
      <c r="C27" s="20"/>
      <c r="D27" s="20" t="s">
        <v>150</v>
      </c>
      <c r="E27" s="20" t="s">
        <v>151</v>
      </c>
      <c r="F27" s="20" t="s">
        <v>152</v>
      </c>
      <c r="G27" s="20" t="s">
        <v>153</v>
      </c>
      <c r="H27" s="20" t="s">
        <v>154</v>
      </c>
      <c r="R27" s="5"/>
    </row>
    <row r="28" spans="1:18" ht="15.5" x14ac:dyDescent="0.35">
      <c r="B28" s="21" t="s">
        <v>155</v>
      </c>
      <c r="C28" s="21" t="s">
        <v>156</v>
      </c>
      <c r="D28" s="21" t="s">
        <v>157</v>
      </c>
      <c r="E28" s="21" t="s">
        <v>157</v>
      </c>
      <c r="F28" s="21" t="s">
        <v>157</v>
      </c>
      <c r="G28" s="21" t="s">
        <v>158</v>
      </c>
      <c r="H28" s="21" t="s">
        <v>159</v>
      </c>
      <c r="K28" s="39" t="s">
        <v>161</v>
      </c>
      <c r="L28" s="39"/>
      <c r="R28" s="5"/>
    </row>
    <row r="29" spans="1:18" ht="15.5" x14ac:dyDescent="0.35">
      <c r="A29" s="1"/>
      <c r="B29" s="22" t="s">
        <v>162</v>
      </c>
      <c r="C29" s="123">
        <f>+C24+1</f>
        <v>2025</v>
      </c>
      <c r="D29" s="112">
        <f>826927.25+0.02</f>
        <v>826927.27</v>
      </c>
      <c r="E29" s="112">
        <f>657033.23-0.02</f>
        <v>657033.21</v>
      </c>
      <c r="F29" s="112">
        <f>143121.4-0.01</f>
        <v>143121.38999999998</v>
      </c>
      <c r="G29" s="112">
        <f>6369.3+0.01</f>
        <v>6369.31</v>
      </c>
      <c r="H29" s="51">
        <f t="shared" ref="H29:H41" si="3">SUM(D29:G29)</f>
        <v>1633451.18</v>
      </c>
      <c r="K29" s="120">
        <v>1633451.1800000002</v>
      </c>
      <c r="L29" s="13">
        <f>+H29-K29</f>
        <v>0</v>
      </c>
      <c r="R29" s="5"/>
    </row>
    <row r="30" spans="1:18" ht="15.5" x14ac:dyDescent="0.35">
      <c r="A30" s="1"/>
      <c r="B30" s="22" t="s">
        <v>163</v>
      </c>
      <c r="C30" s="123">
        <v>2025</v>
      </c>
      <c r="D30" s="122">
        <f>789700.6-0.02</f>
        <v>789700.58</v>
      </c>
      <c r="E30" s="122">
        <f>647382.71+0.01</f>
        <v>647382.72</v>
      </c>
      <c r="F30" s="122">
        <f>137413.06+0.01</f>
        <v>137413.07</v>
      </c>
      <c r="G30" s="122">
        <f>12009.25+0.01</f>
        <v>12009.26</v>
      </c>
      <c r="H30" s="121">
        <f t="shared" si="3"/>
        <v>1586505.63</v>
      </c>
      <c r="I30" s="24"/>
      <c r="K30" s="120">
        <v>1586505.63</v>
      </c>
      <c r="L30" s="13">
        <f t="shared" ref="L30:L41" si="4">+H30-K30</f>
        <v>0</v>
      </c>
      <c r="R30" s="5"/>
    </row>
    <row r="31" spans="1:18" ht="15.5" x14ac:dyDescent="0.35">
      <c r="A31" s="1"/>
      <c r="B31" s="22" t="s">
        <v>164</v>
      </c>
      <c r="C31" s="123">
        <v>2025</v>
      </c>
      <c r="D31" s="122">
        <f>674623.84+0.03</f>
        <v>674623.87</v>
      </c>
      <c r="E31" s="122">
        <f>614062.86-0.02</f>
        <v>614062.84</v>
      </c>
      <c r="F31" s="122">
        <f>139525.7</f>
        <v>139525.70000000001</v>
      </c>
      <c r="G31" s="122">
        <f>6810.36-0.01</f>
        <v>6810.3499999999995</v>
      </c>
      <c r="H31" s="121">
        <f t="shared" si="3"/>
        <v>1435022.76</v>
      </c>
      <c r="I31" s="24"/>
      <c r="K31" s="120">
        <v>1435022.76</v>
      </c>
      <c r="L31" s="13">
        <f t="shared" si="4"/>
        <v>0</v>
      </c>
      <c r="R31" s="5"/>
    </row>
    <row r="32" spans="1:18" ht="15.5" x14ac:dyDescent="0.35">
      <c r="A32" s="1"/>
      <c r="B32" s="22" t="s">
        <v>165</v>
      </c>
      <c r="C32" s="123">
        <v>2025</v>
      </c>
      <c r="D32" s="122">
        <f>578108.05-0.01</f>
        <v>578108.04</v>
      </c>
      <c r="E32" s="122">
        <f>592200.35-0.02</f>
        <v>592200.32999999996</v>
      </c>
      <c r="F32" s="122">
        <f>127440.12-0.02</f>
        <v>127440.09999999999</v>
      </c>
      <c r="G32" s="122">
        <v>6785.6</v>
      </c>
      <c r="H32" s="121">
        <f t="shared" si="3"/>
        <v>1304534.0700000003</v>
      </c>
      <c r="I32" s="24"/>
      <c r="K32" s="120">
        <v>1304534.0700000003</v>
      </c>
      <c r="L32" s="13">
        <f t="shared" si="4"/>
        <v>0</v>
      </c>
      <c r="R32" s="5"/>
    </row>
    <row r="33" spans="1:12" ht="15.5" x14ac:dyDescent="0.35">
      <c r="A33" s="1"/>
      <c r="B33" s="22" t="s">
        <v>166</v>
      </c>
      <c r="C33" s="123">
        <v>2025</v>
      </c>
      <c r="D33" s="122">
        <v>551119.43999999994</v>
      </c>
      <c r="E33" s="122">
        <v>565575.82999999996</v>
      </c>
      <c r="F33" s="122">
        <v>128498.6</v>
      </c>
      <c r="G33" s="122">
        <v>6130.83</v>
      </c>
      <c r="H33" s="122">
        <f t="shared" si="3"/>
        <v>1251324.7000000002</v>
      </c>
      <c r="K33" s="120">
        <v>1251324.7000000002</v>
      </c>
      <c r="L33" s="13">
        <f t="shared" si="4"/>
        <v>0</v>
      </c>
    </row>
    <row r="34" spans="1:12" ht="15.5" x14ac:dyDescent="0.35">
      <c r="A34" s="1"/>
      <c r="B34" s="22" t="s">
        <v>167</v>
      </c>
      <c r="C34" s="123">
        <v>2025</v>
      </c>
      <c r="D34" s="122">
        <v>660710.1</v>
      </c>
      <c r="E34" s="122">
        <v>602931.97</v>
      </c>
      <c r="F34" s="122">
        <v>140105.44</v>
      </c>
      <c r="G34" s="122">
        <v>7465.46</v>
      </c>
      <c r="H34" s="122">
        <f t="shared" si="3"/>
        <v>1411212.9699999997</v>
      </c>
      <c r="K34" s="120">
        <v>1411212.9699999997</v>
      </c>
      <c r="L34" s="13">
        <f t="shared" si="4"/>
        <v>0</v>
      </c>
    </row>
    <row r="35" spans="1:12" ht="15.5" x14ac:dyDescent="0.35">
      <c r="A35" s="1"/>
      <c r="B35" s="22" t="s">
        <v>168</v>
      </c>
      <c r="C35" s="123">
        <v>2025</v>
      </c>
      <c r="D35" s="122">
        <v>1100311.54</v>
      </c>
      <c r="E35" s="122">
        <v>726665.11</v>
      </c>
      <c r="F35" s="122">
        <v>137342.73000000001</v>
      </c>
      <c r="G35" s="122">
        <v>6792.38</v>
      </c>
      <c r="H35" s="122">
        <f t="shared" si="3"/>
        <v>1971111.7599999998</v>
      </c>
      <c r="K35" s="120">
        <v>1971111.7599999998</v>
      </c>
      <c r="L35" s="13">
        <f t="shared" si="4"/>
        <v>0</v>
      </c>
    </row>
    <row r="36" spans="1:12" ht="15.5" x14ac:dyDescent="0.35">
      <c r="A36" s="1"/>
      <c r="B36" s="22" t="s">
        <v>169</v>
      </c>
      <c r="C36" s="123">
        <v>2025</v>
      </c>
      <c r="D36" s="122">
        <v>1142898.03</v>
      </c>
      <c r="E36" s="122">
        <v>726365.99</v>
      </c>
      <c r="F36" s="122">
        <v>140146.74</v>
      </c>
      <c r="G36" s="122">
        <v>6685.73</v>
      </c>
      <c r="H36" s="122">
        <f t="shared" si="3"/>
        <v>2016096.49</v>
      </c>
      <c r="K36" s="120">
        <v>2016096.49</v>
      </c>
      <c r="L36" s="13">
        <f t="shared" si="4"/>
        <v>0</v>
      </c>
    </row>
    <row r="37" spans="1:12" ht="15.5" x14ac:dyDescent="0.35">
      <c r="A37" s="1"/>
      <c r="B37" s="22" t="s">
        <v>170</v>
      </c>
      <c r="C37" s="123">
        <v>2025</v>
      </c>
      <c r="D37" s="122">
        <v>966565.03</v>
      </c>
      <c r="E37" s="122">
        <v>703927.99</v>
      </c>
      <c r="F37" s="122">
        <v>131709.85</v>
      </c>
      <c r="G37" s="122">
        <v>6754.66</v>
      </c>
      <c r="H37" s="122">
        <f t="shared" si="3"/>
        <v>1808957.53</v>
      </c>
      <c r="K37" s="120">
        <v>1808957.53</v>
      </c>
      <c r="L37" s="13">
        <f t="shared" si="4"/>
        <v>0</v>
      </c>
    </row>
    <row r="38" spans="1:12" ht="15.5" x14ac:dyDescent="0.35">
      <c r="A38" s="1"/>
      <c r="B38" s="22" t="s">
        <v>171</v>
      </c>
      <c r="C38" s="123">
        <v>2025</v>
      </c>
      <c r="D38" s="122">
        <v>548326.36</v>
      </c>
      <c r="E38" s="122">
        <v>593366.34</v>
      </c>
      <c r="F38" s="122">
        <v>123501.77</v>
      </c>
      <c r="G38" s="122">
        <v>6747.69</v>
      </c>
      <c r="H38" s="122">
        <f t="shared" si="3"/>
        <v>1271942.1599999999</v>
      </c>
      <c r="K38" s="120">
        <v>1271942.1599999999</v>
      </c>
      <c r="L38" s="13">
        <f t="shared" si="4"/>
        <v>0</v>
      </c>
    </row>
    <row r="39" spans="1:12" ht="15.5" x14ac:dyDescent="0.35">
      <c r="A39" s="1"/>
      <c r="B39" s="22" t="s">
        <v>172</v>
      </c>
      <c r="C39" s="123">
        <v>2025</v>
      </c>
      <c r="D39" s="122">
        <v>556574.14</v>
      </c>
      <c r="E39" s="122">
        <v>574937.64</v>
      </c>
      <c r="F39" s="122">
        <v>118281.44</v>
      </c>
      <c r="G39" s="122">
        <v>5358.49</v>
      </c>
      <c r="H39" s="122">
        <f t="shared" si="3"/>
        <v>1255151.71</v>
      </c>
      <c r="K39" s="120">
        <v>1255151.71</v>
      </c>
      <c r="L39" s="13">
        <f t="shared" si="4"/>
        <v>0</v>
      </c>
    </row>
    <row r="40" spans="1:12" ht="15.5" x14ac:dyDescent="0.35">
      <c r="A40" s="1"/>
      <c r="B40" s="22" t="s">
        <v>173</v>
      </c>
      <c r="C40" s="123">
        <v>2025</v>
      </c>
      <c r="D40" s="122">
        <v>673628.81</v>
      </c>
      <c r="E40" s="122">
        <v>646039.13</v>
      </c>
      <c r="F40" s="122">
        <v>140301.59</v>
      </c>
      <c r="G40" s="122">
        <v>8171.44</v>
      </c>
      <c r="H40" s="122">
        <f t="shared" si="3"/>
        <v>1468140.97</v>
      </c>
      <c r="K40" s="120">
        <v>1468140.97</v>
      </c>
      <c r="L40" s="13">
        <f t="shared" si="4"/>
        <v>0</v>
      </c>
    </row>
    <row r="41" spans="1:12" ht="16" thickBot="1" x14ac:dyDescent="0.4">
      <c r="B41" s="243" t="s">
        <v>116</v>
      </c>
      <c r="C41" s="243">
        <f>+C40</f>
        <v>2025</v>
      </c>
      <c r="D41" s="244">
        <f>SUM(D29:D40)</f>
        <v>9069493.2100000009</v>
      </c>
      <c r="E41" s="244">
        <f>SUM(E29:E40)</f>
        <v>7650489.1000000006</v>
      </c>
      <c r="F41" s="244">
        <f>SUM(F29:F40)</f>
        <v>1607388.4200000002</v>
      </c>
      <c r="G41" s="244">
        <f>SUM(G29:G40)</f>
        <v>86081.200000000012</v>
      </c>
      <c r="H41" s="244">
        <f t="shared" si="3"/>
        <v>18413451.930000003</v>
      </c>
      <c r="K41" s="245">
        <f>SUM(K29:K40)</f>
        <v>18413451.93</v>
      </c>
      <c r="L41" s="13">
        <f t="shared" si="4"/>
        <v>0</v>
      </c>
    </row>
    <row r="42" spans="1:12" ht="15" thickTop="1" x14ac:dyDescent="0.35"/>
    <row r="50" spans="4:7" x14ac:dyDescent="0.35">
      <c r="D50" s="1"/>
      <c r="E50" s="1"/>
      <c r="F50" s="1"/>
      <c r="G50" s="1"/>
    </row>
  </sheetData>
  <printOptions horizontalCentered="1"/>
  <pageMargins left="0.25" right="0.25" top="0.75" bottom="0.5" header="0.3" footer="0.3"/>
  <pageSetup scale="88" orientation="portrait" r:id="rId1"/>
  <ignoredErrors>
    <ignoredError sqref="H31 H33:H40 H14 H16:H17 H19:H2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95252-B6BD-4668-90C6-94D95B98CB66}">
  <sheetPr codeName="Sheet4">
    <pageSetUpPr fitToPage="1"/>
  </sheetPr>
  <dimension ref="A1:AS150"/>
  <sheetViews>
    <sheetView zoomScaleNormal="100" zoomScaleSheetLayoutView="100" workbookViewId="0"/>
  </sheetViews>
  <sheetFormatPr defaultRowHeight="14.5" x14ac:dyDescent="0.35"/>
  <cols>
    <col min="1" max="1" width="5.453125" customWidth="1"/>
    <col min="2" max="2" width="6.1796875" bestFit="1" customWidth="1"/>
    <col min="3" max="3" width="13.7265625" bestFit="1" customWidth="1"/>
    <col min="4" max="5" width="15.453125" bestFit="1" customWidth="1"/>
    <col min="6" max="6" width="11.54296875" bestFit="1" customWidth="1"/>
    <col min="7" max="7" width="14.26953125" bestFit="1" customWidth="1"/>
    <col min="8" max="8" width="12.54296875" bestFit="1" customWidth="1"/>
    <col min="9" max="9" width="13.7265625" bestFit="1" customWidth="1"/>
    <col min="10" max="10" width="15.26953125" bestFit="1" customWidth="1"/>
    <col min="11" max="11" width="13.7265625" bestFit="1" customWidth="1"/>
    <col min="12" max="12" width="13.1796875" customWidth="1"/>
    <col min="13" max="13" width="13.7265625" bestFit="1" customWidth="1"/>
    <col min="14" max="14" width="12.54296875" bestFit="1" customWidth="1"/>
    <col min="15" max="15" width="13.1796875" bestFit="1" customWidth="1"/>
    <col min="16" max="16" width="13.7265625" bestFit="1" customWidth="1"/>
    <col min="17" max="17" width="12.54296875" bestFit="1" customWidth="1"/>
    <col min="18" max="18" width="12.7265625" bestFit="1" customWidth="1"/>
    <col min="19" max="19" width="13.7265625" bestFit="1" customWidth="1"/>
    <col min="20" max="20" width="8.7265625" bestFit="1" customWidth="1"/>
    <col min="21" max="21" width="14.26953125" bestFit="1" customWidth="1"/>
    <col min="22" max="23" width="16.26953125" bestFit="1" customWidth="1"/>
    <col min="24" max="24" width="10" bestFit="1" customWidth="1"/>
    <col min="25" max="25" width="12.54296875" bestFit="1" customWidth="1"/>
    <col min="26" max="26" width="10" bestFit="1" customWidth="1"/>
    <col min="27" max="27" width="14.26953125" bestFit="1" customWidth="1"/>
    <col min="28" max="28" width="10" bestFit="1" customWidth="1"/>
    <col min="29" max="29" width="13.453125" bestFit="1" customWidth="1"/>
    <col min="30" max="30" width="15" bestFit="1" customWidth="1"/>
    <col min="31" max="31" width="15.26953125" bestFit="1" customWidth="1"/>
    <col min="32" max="32" width="10.7265625" bestFit="1" customWidth="1"/>
    <col min="33" max="33" width="14.26953125" bestFit="1" customWidth="1"/>
    <col min="34" max="34" width="10" bestFit="1" customWidth="1"/>
    <col min="35" max="35" width="15.26953125" bestFit="1" customWidth="1"/>
    <col min="36" max="36" width="10" bestFit="1" customWidth="1"/>
    <col min="37" max="37" width="16.26953125" bestFit="1" customWidth="1"/>
    <col min="38" max="38" width="10" bestFit="1" customWidth="1"/>
    <col min="39" max="39" width="14.26953125" bestFit="1" customWidth="1"/>
    <col min="40" max="40" width="12.26953125" bestFit="1" customWidth="1"/>
    <col min="41" max="41" width="14.26953125" bestFit="1" customWidth="1"/>
    <col min="42" max="42" width="12.26953125" bestFit="1" customWidth="1"/>
  </cols>
  <sheetData>
    <row r="1" spans="1:45" ht="18.5" x14ac:dyDescent="0.45">
      <c r="S1" s="113" t="s">
        <v>145</v>
      </c>
    </row>
    <row r="2" spans="1:45" ht="18.5" x14ac:dyDescent="0.45">
      <c r="S2" s="113" t="s">
        <v>174</v>
      </c>
    </row>
    <row r="3" spans="1:45" ht="14.5" customHeight="1" x14ac:dyDescent="0.35">
      <c r="A3" s="130" t="s">
        <v>109</v>
      </c>
      <c r="B3" s="317"/>
      <c r="C3" s="318"/>
      <c r="D3" s="318"/>
      <c r="E3" s="318"/>
      <c r="F3" s="318"/>
      <c r="G3" s="318"/>
      <c r="H3" s="318"/>
      <c r="I3" s="318"/>
      <c r="J3" s="318"/>
      <c r="K3" s="40"/>
      <c r="L3" s="40"/>
      <c r="M3" s="40"/>
      <c r="N3" s="40"/>
      <c r="O3" s="40"/>
      <c r="P3" s="40"/>
      <c r="Q3" s="40"/>
      <c r="R3" s="40"/>
      <c r="S3" s="40"/>
    </row>
    <row r="4" spans="1:45" ht="18.5" x14ac:dyDescent="0.45">
      <c r="A4" s="114" t="s">
        <v>147</v>
      </c>
      <c r="B4" s="27"/>
      <c r="C4" s="40"/>
      <c r="D4" s="40"/>
      <c r="E4" s="40"/>
      <c r="F4" s="40"/>
      <c r="G4" s="40"/>
      <c r="H4" s="40"/>
      <c r="I4" s="40"/>
      <c r="J4" s="40"/>
      <c r="K4" s="40"/>
      <c r="L4" s="40"/>
      <c r="M4" s="40"/>
      <c r="N4" s="40"/>
      <c r="O4" s="40"/>
      <c r="P4" s="40"/>
      <c r="Q4" s="40"/>
      <c r="R4" s="40"/>
      <c r="S4" s="40"/>
    </row>
    <row r="5" spans="1:45" ht="18.5" x14ac:dyDescent="0.45">
      <c r="A5" s="114" t="s">
        <v>175</v>
      </c>
      <c r="B5" s="27"/>
      <c r="C5" s="40"/>
      <c r="D5" s="40"/>
      <c r="E5" s="40"/>
      <c r="F5" s="40"/>
      <c r="G5" s="40"/>
      <c r="H5" s="40"/>
      <c r="I5" s="40"/>
      <c r="J5" s="40"/>
      <c r="K5" s="40"/>
      <c r="L5" s="40"/>
      <c r="M5" s="40"/>
      <c r="N5" s="40"/>
      <c r="O5" s="40"/>
      <c r="P5" s="40"/>
      <c r="Q5" s="40"/>
      <c r="R5" s="40"/>
      <c r="S5" s="40"/>
    </row>
    <row r="6" spans="1:45" ht="15.5" x14ac:dyDescent="0.35">
      <c r="A6" s="4"/>
      <c r="B6" s="4"/>
    </row>
    <row r="7" spans="1:45" ht="18.5" hidden="1" x14ac:dyDescent="0.45">
      <c r="A7" s="293" t="s">
        <v>176</v>
      </c>
      <c r="B7" s="293"/>
      <c r="C7" s="115"/>
      <c r="D7" s="26"/>
      <c r="E7" s="26"/>
      <c r="F7" s="26"/>
      <c r="G7" s="26"/>
      <c r="H7" s="26"/>
      <c r="I7" s="26"/>
      <c r="J7" s="26"/>
      <c r="K7" s="26"/>
      <c r="L7" s="26"/>
      <c r="M7" s="26"/>
      <c r="N7" s="26"/>
      <c r="O7" s="26"/>
      <c r="P7" s="26"/>
      <c r="Q7" s="26"/>
      <c r="R7" s="26"/>
      <c r="S7" s="26"/>
    </row>
    <row r="8" spans="1:45" ht="15.5" hidden="1" x14ac:dyDescent="0.35">
      <c r="A8" s="4"/>
      <c r="B8" s="4"/>
    </row>
    <row r="9" spans="1:45" ht="15.5" hidden="1" x14ac:dyDescent="0.35">
      <c r="A9" s="4"/>
      <c r="B9" s="4"/>
      <c r="C9" s="39" t="s">
        <v>177</v>
      </c>
      <c r="D9" s="30"/>
      <c r="E9" s="30"/>
      <c r="F9" s="30"/>
      <c r="G9" s="30"/>
      <c r="H9" s="30"/>
      <c r="I9" s="30"/>
      <c r="J9" s="30"/>
      <c r="K9" s="30"/>
      <c r="L9" s="2"/>
      <c r="M9" s="39" t="s">
        <v>178</v>
      </c>
      <c r="N9" s="30"/>
      <c r="O9" s="30"/>
    </row>
    <row r="10" spans="1:45" hidden="1" x14ac:dyDescent="0.35">
      <c r="C10" s="2" t="s">
        <v>179</v>
      </c>
      <c r="D10" s="2" t="s">
        <v>180</v>
      </c>
      <c r="E10" s="2" t="s">
        <v>179</v>
      </c>
      <c r="G10" s="2" t="s">
        <v>180</v>
      </c>
      <c r="H10" s="2" t="s">
        <v>179</v>
      </c>
      <c r="N10" s="2" t="s">
        <v>181</v>
      </c>
    </row>
    <row r="11" spans="1:45" hidden="1" x14ac:dyDescent="0.35">
      <c r="C11" s="2" t="s">
        <v>182</v>
      </c>
      <c r="D11" s="2" t="s">
        <v>179</v>
      </c>
      <c r="E11" s="2" t="s">
        <v>182</v>
      </c>
      <c r="F11" s="2" t="s">
        <v>183</v>
      </c>
      <c r="G11" s="2" t="s">
        <v>183</v>
      </c>
      <c r="H11" s="2" t="s">
        <v>184</v>
      </c>
      <c r="L11" s="2" t="s">
        <v>185</v>
      </c>
      <c r="N11" s="2" t="s">
        <v>186</v>
      </c>
      <c r="O11" s="2" t="s">
        <v>187</v>
      </c>
    </row>
    <row r="12" spans="1:45" ht="15" hidden="1" thickBot="1" x14ac:dyDescent="0.4">
      <c r="C12" s="2" t="s">
        <v>188</v>
      </c>
      <c r="D12" s="2" t="s">
        <v>182</v>
      </c>
      <c r="E12" s="2" t="s">
        <v>189</v>
      </c>
      <c r="F12" s="2" t="s">
        <v>190</v>
      </c>
      <c r="G12" s="2" t="s">
        <v>190</v>
      </c>
      <c r="H12" s="2" t="s">
        <v>191</v>
      </c>
      <c r="J12" s="2" t="s">
        <v>180</v>
      </c>
      <c r="K12" s="2" t="s">
        <v>149</v>
      </c>
      <c r="L12" s="2" t="s">
        <v>149</v>
      </c>
      <c r="M12" s="2" t="s">
        <v>192</v>
      </c>
      <c r="N12" s="2" t="s">
        <v>192</v>
      </c>
      <c r="O12" s="2" t="s">
        <v>193</v>
      </c>
      <c r="Q12" s="312">
        <v>7.6083333333333333E-3</v>
      </c>
      <c r="R12" s="319" t="s">
        <v>194</v>
      </c>
      <c r="S12" s="2" t="s">
        <v>112</v>
      </c>
      <c r="V12" s="12">
        <f>G21-H22</f>
        <v>7287858.2500000009</v>
      </c>
    </row>
    <row r="13" spans="1:45" hidden="1" x14ac:dyDescent="0.35">
      <c r="C13" s="2" t="s">
        <v>195</v>
      </c>
      <c r="D13" s="2" t="s">
        <v>189</v>
      </c>
      <c r="E13" s="2" t="s">
        <v>196</v>
      </c>
      <c r="F13" s="2" t="s">
        <v>191</v>
      </c>
      <c r="G13" s="2" t="s">
        <v>191</v>
      </c>
      <c r="H13" s="2" t="s">
        <v>197</v>
      </c>
      <c r="I13" s="2" t="s">
        <v>149</v>
      </c>
      <c r="J13" s="2" t="s">
        <v>149</v>
      </c>
      <c r="K13" s="2" t="s">
        <v>197</v>
      </c>
      <c r="L13" s="2" t="s">
        <v>197</v>
      </c>
      <c r="M13" s="2" t="s">
        <v>197</v>
      </c>
      <c r="N13" s="2" t="s">
        <v>198</v>
      </c>
      <c r="O13" s="2" t="s">
        <v>186</v>
      </c>
      <c r="P13" s="2" t="s">
        <v>199</v>
      </c>
      <c r="Q13" s="2" t="s">
        <v>200</v>
      </c>
      <c r="R13" s="2" t="s">
        <v>201</v>
      </c>
      <c r="S13" s="2" t="s">
        <v>202</v>
      </c>
      <c r="V13" s="12"/>
    </row>
    <row r="14" spans="1:45" ht="15" hidden="1" thickBot="1" x14ac:dyDescent="0.4">
      <c r="A14" s="313" t="s">
        <v>203</v>
      </c>
      <c r="B14" s="313" t="s">
        <v>156</v>
      </c>
      <c r="C14" s="313" t="s">
        <v>204</v>
      </c>
      <c r="D14" s="313" t="s">
        <v>204</v>
      </c>
      <c r="E14" s="313" t="s">
        <v>205</v>
      </c>
      <c r="F14" s="313" t="s">
        <v>204</v>
      </c>
      <c r="G14" s="313" t="s">
        <v>204</v>
      </c>
      <c r="H14" s="313" t="s">
        <v>205</v>
      </c>
      <c r="I14" s="313" t="s">
        <v>204</v>
      </c>
      <c r="J14" s="313" t="s">
        <v>204</v>
      </c>
      <c r="K14" s="313" t="s">
        <v>205</v>
      </c>
      <c r="L14" s="313" t="s">
        <v>205</v>
      </c>
      <c r="M14" s="313" t="s">
        <v>205</v>
      </c>
      <c r="N14" s="314">
        <v>0.28110000000000002</v>
      </c>
      <c r="O14" s="313" t="s">
        <v>192</v>
      </c>
      <c r="P14" s="313" t="s">
        <v>204</v>
      </c>
      <c r="Q14" s="313" t="s">
        <v>206</v>
      </c>
      <c r="R14" s="313" t="s">
        <v>205</v>
      </c>
      <c r="S14" s="313" t="s">
        <v>207</v>
      </c>
    </row>
    <row r="15" spans="1:45" ht="15" hidden="1" customHeight="1" x14ac:dyDescent="0.35">
      <c r="A15" s="1"/>
      <c r="B15" s="1"/>
      <c r="D15" s="74">
        <v>127252438.82000001</v>
      </c>
      <c r="F15" s="8"/>
      <c r="G15" s="74">
        <v>5209793.03</v>
      </c>
      <c r="J15" s="74">
        <f>+D15+G15</f>
        <v>132462231.85000001</v>
      </c>
      <c r="K15" s="8"/>
      <c r="L15" s="74">
        <v>16514646.02</v>
      </c>
      <c r="O15" s="74">
        <v>32592865.91609773</v>
      </c>
      <c r="P15" s="75">
        <f t="shared" ref="P15:P21" si="0">+J15-L15-O15</f>
        <v>83354719.913902283</v>
      </c>
      <c r="AI15" s="13"/>
      <c r="AJ15" s="13"/>
      <c r="AK15" s="13"/>
      <c r="AL15" s="13"/>
    </row>
    <row r="16" spans="1:45" hidden="1" x14ac:dyDescent="0.35">
      <c r="A16" s="28" t="s">
        <v>168</v>
      </c>
      <c r="B16" s="1">
        <v>2024</v>
      </c>
      <c r="C16" s="74">
        <v>8183176.7199999979</v>
      </c>
      <c r="D16" s="75">
        <f>+D15+C16</f>
        <v>135435615.53999999</v>
      </c>
      <c r="E16" s="74">
        <v>1128630.1299999999</v>
      </c>
      <c r="F16" s="74">
        <v>558933.55000000005</v>
      </c>
      <c r="G16" s="75">
        <f t="shared" ref="G16:G21" si="1">G15+F16</f>
        <v>5768726.5800000001</v>
      </c>
      <c r="H16" s="74">
        <v>480727.22</v>
      </c>
      <c r="I16" s="8">
        <f t="shared" ref="I16:I21" si="2">F16+C16</f>
        <v>8742110.2699999977</v>
      </c>
      <c r="J16" s="75">
        <f t="shared" ref="J16:J21" si="3">+I16+J15</f>
        <v>141204342.12</v>
      </c>
      <c r="K16" s="8">
        <f t="shared" ref="K16:K21" si="4">ROUND(H16+E16,2)</f>
        <v>1609357.35</v>
      </c>
      <c r="L16" s="75">
        <f t="shared" ref="L16:L21" si="5">+L15+K16</f>
        <v>18124003.370000001</v>
      </c>
      <c r="M16" s="8">
        <f t="shared" ref="M16:M21" si="6">+I16</f>
        <v>8742110.2699999977</v>
      </c>
      <c r="N16" s="8">
        <f t="shared" ref="N16:N21" si="7">(M16-K16)*N$14</f>
        <v>2005016.8458119996</v>
      </c>
      <c r="O16" s="75">
        <f t="shared" ref="O16:O21" si="8">O15+N16</f>
        <v>34597882.761909731</v>
      </c>
      <c r="P16" s="75">
        <f>+J16-L16-O16</f>
        <v>88482455.988090277</v>
      </c>
      <c r="Q16" s="8">
        <f t="shared" ref="Q16:Q21" si="9">ROUND(P16*$Q$12,2)</f>
        <v>673204.02</v>
      </c>
      <c r="R16" s="8">
        <v>307249.82000000007</v>
      </c>
      <c r="S16" s="8">
        <f t="shared" ref="S16:S21" si="10">+R16+Q16+K16</f>
        <v>2589811.1900000004</v>
      </c>
      <c r="T16" s="75">
        <f t="shared" ref="T16:T21" si="11">+Q16+R16+K16-S16</f>
        <v>0</v>
      </c>
      <c r="U16" s="124"/>
      <c r="V16" s="124"/>
      <c r="W16" s="124"/>
      <c r="X16" s="124"/>
      <c r="Y16" s="124"/>
      <c r="Z16" s="124"/>
      <c r="AA16" s="124"/>
      <c r="AB16" s="13"/>
      <c r="AC16" s="124"/>
      <c r="AD16" s="13"/>
      <c r="AE16" s="13"/>
      <c r="AF16" s="13"/>
      <c r="AG16" s="13"/>
      <c r="AH16" s="13"/>
      <c r="AI16" s="13"/>
      <c r="AJ16" s="13"/>
      <c r="AK16" s="13"/>
      <c r="AL16" s="13"/>
      <c r="AM16" s="13"/>
      <c r="AN16" s="13"/>
      <c r="AO16" s="13"/>
      <c r="AP16" s="13"/>
      <c r="AS16" s="13"/>
    </row>
    <row r="17" spans="1:45" hidden="1" x14ac:dyDescent="0.35">
      <c r="A17" s="28" t="s">
        <v>169</v>
      </c>
      <c r="B17" s="1">
        <f t="shared" ref="B17:B22" si="12">+B16</f>
        <v>2024</v>
      </c>
      <c r="C17" s="75">
        <v>12950408.379999999</v>
      </c>
      <c r="D17" s="75">
        <f>D16+C17</f>
        <v>148386023.91999999</v>
      </c>
      <c r="E17" s="75">
        <v>1236550.2</v>
      </c>
      <c r="F17" s="75">
        <v>787408.31</v>
      </c>
      <c r="G17" s="75">
        <f t="shared" si="1"/>
        <v>6556134.8900000006</v>
      </c>
      <c r="H17" s="75">
        <v>546344.56999999995</v>
      </c>
      <c r="I17" s="75">
        <f t="shared" si="2"/>
        <v>13737816.689999999</v>
      </c>
      <c r="J17" s="75">
        <f t="shared" si="3"/>
        <v>154942158.81</v>
      </c>
      <c r="K17" s="75">
        <f t="shared" si="4"/>
        <v>1782894.77</v>
      </c>
      <c r="L17" s="75">
        <f t="shared" si="5"/>
        <v>19906898.140000001</v>
      </c>
      <c r="M17" s="75">
        <f t="shared" si="6"/>
        <v>13737816.689999999</v>
      </c>
      <c r="N17" s="75">
        <f t="shared" si="7"/>
        <v>3360528.5517120003</v>
      </c>
      <c r="O17" s="75">
        <f t="shared" si="8"/>
        <v>37958411.31362173</v>
      </c>
      <c r="P17" s="75">
        <f t="shared" si="0"/>
        <v>97076849.356378287</v>
      </c>
      <c r="Q17" s="29">
        <f t="shared" si="9"/>
        <v>738593.03</v>
      </c>
      <c r="R17" s="75">
        <v>544882.05000000005</v>
      </c>
      <c r="S17" s="75">
        <f t="shared" si="10"/>
        <v>3066369.85</v>
      </c>
      <c r="T17" s="75">
        <f t="shared" si="11"/>
        <v>0</v>
      </c>
      <c r="U17" s="124"/>
      <c r="V17" s="124"/>
      <c r="W17" s="124"/>
      <c r="X17" s="124"/>
      <c r="Y17" s="124"/>
      <c r="Z17" s="124"/>
      <c r="AA17" s="124"/>
      <c r="AB17" s="13"/>
      <c r="AC17" s="124"/>
      <c r="AD17" s="13"/>
      <c r="AE17" s="13"/>
      <c r="AF17" s="13"/>
      <c r="AG17" s="13"/>
      <c r="AH17" s="13"/>
      <c r="AI17" s="13"/>
      <c r="AJ17" s="13"/>
      <c r="AK17" s="13"/>
      <c r="AL17" s="13"/>
      <c r="AM17" s="13"/>
      <c r="AN17" s="13"/>
      <c r="AO17" s="13"/>
      <c r="AP17" s="13"/>
      <c r="AS17" s="13"/>
    </row>
    <row r="18" spans="1:45" hidden="1" x14ac:dyDescent="0.35">
      <c r="A18" s="28" t="s">
        <v>170</v>
      </c>
      <c r="B18" s="1">
        <f t="shared" si="12"/>
        <v>2024</v>
      </c>
      <c r="C18" s="75">
        <v>10600218.609999998</v>
      </c>
      <c r="D18" s="75">
        <f>D17+C18</f>
        <v>158986242.52999997</v>
      </c>
      <c r="E18" s="75">
        <v>1324885.3500000001</v>
      </c>
      <c r="F18" s="75">
        <v>675660.40999999992</v>
      </c>
      <c r="G18" s="75">
        <f t="shared" si="1"/>
        <v>7231795.3000000007</v>
      </c>
      <c r="H18" s="75">
        <v>602649.61</v>
      </c>
      <c r="I18" s="75">
        <f t="shared" si="2"/>
        <v>11275879.019999998</v>
      </c>
      <c r="J18" s="75">
        <f t="shared" si="3"/>
        <v>166218037.83000001</v>
      </c>
      <c r="K18" s="75">
        <f t="shared" si="4"/>
        <v>1927534.96</v>
      </c>
      <c r="L18" s="75">
        <f t="shared" si="5"/>
        <v>21834433.100000001</v>
      </c>
      <c r="M18" s="75">
        <f t="shared" si="6"/>
        <v>11275879.019999998</v>
      </c>
      <c r="N18" s="75">
        <f t="shared" si="7"/>
        <v>2627819.5152659998</v>
      </c>
      <c r="O18" s="75">
        <f t="shared" si="8"/>
        <v>40586230.828887731</v>
      </c>
      <c r="P18" s="75">
        <f t="shared" si="0"/>
        <v>103797373.90111229</v>
      </c>
      <c r="Q18" s="29">
        <f t="shared" si="9"/>
        <v>789725.02</v>
      </c>
      <c r="R18" s="75">
        <v>348915.51</v>
      </c>
      <c r="S18" s="75">
        <f t="shared" si="10"/>
        <v>3066175.49</v>
      </c>
      <c r="T18" s="75">
        <f t="shared" si="11"/>
        <v>0</v>
      </c>
      <c r="U18" s="124"/>
      <c r="V18" s="124"/>
      <c r="W18" s="124"/>
      <c r="X18" s="124"/>
      <c r="Y18" s="124"/>
      <c r="Z18" s="124"/>
      <c r="AA18" s="124"/>
      <c r="AB18" s="13"/>
      <c r="AC18" s="124"/>
      <c r="AD18" s="13"/>
      <c r="AE18" s="13"/>
      <c r="AF18" s="13"/>
      <c r="AG18" s="13"/>
      <c r="AH18" s="13"/>
      <c r="AI18" s="13"/>
      <c r="AJ18" s="13"/>
      <c r="AK18" s="13"/>
      <c r="AL18" s="13"/>
      <c r="AM18" s="13"/>
      <c r="AN18" s="13"/>
      <c r="AO18" s="13"/>
      <c r="AP18" s="13"/>
      <c r="AS18" s="13"/>
    </row>
    <row r="19" spans="1:45" hidden="1" x14ac:dyDescent="0.35">
      <c r="A19" s="28" t="s">
        <v>171</v>
      </c>
      <c r="B19" s="1">
        <f t="shared" si="12"/>
        <v>2024</v>
      </c>
      <c r="C19" s="75">
        <v>6946338.209999999</v>
      </c>
      <c r="D19" s="75">
        <f>D18+C19</f>
        <v>165932580.73999998</v>
      </c>
      <c r="E19" s="75">
        <v>1382771.51</v>
      </c>
      <c r="F19" s="75">
        <v>606917.40999999992</v>
      </c>
      <c r="G19" s="75">
        <f t="shared" si="1"/>
        <v>7838712.7100000009</v>
      </c>
      <c r="H19" s="75">
        <v>653226.06000000006</v>
      </c>
      <c r="I19" s="75">
        <f t="shared" si="2"/>
        <v>7553255.6199999992</v>
      </c>
      <c r="J19" s="75">
        <f t="shared" si="3"/>
        <v>173771293.45000002</v>
      </c>
      <c r="K19" s="75">
        <f t="shared" si="4"/>
        <v>2035997.57</v>
      </c>
      <c r="L19" s="75">
        <f t="shared" si="5"/>
        <v>23870430.670000002</v>
      </c>
      <c r="M19" s="75">
        <f t="shared" si="6"/>
        <v>7553255.6199999992</v>
      </c>
      <c r="N19" s="75">
        <f t="shared" si="7"/>
        <v>1550901.2378549997</v>
      </c>
      <c r="O19" s="75">
        <f t="shared" si="8"/>
        <v>42137132.066742733</v>
      </c>
      <c r="P19" s="75">
        <f t="shared" si="0"/>
        <v>107763730.7132573</v>
      </c>
      <c r="Q19" s="29">
        <f t="shared" si="9"/>
        <v>819902.38</v>
      </c>
      <c r="R19" s="75">
        <v>549275.81999999995</v>
      </c>
      <c r="S19" s="75">
        <f t="shared" si="10"/>
        <v>3405175.77</v>
      </c>
      <c r="T19" s="75">
        <f t="shared" si="11"/>
        <v>0</v>
      </c>
      <c r="U19" s="124"/>
      <c r="V19" s="124"/>
      <c r="W19" s="124"/>
      <c r="X19" s="124"/>
      <c r="Y19" s="124"/>
      <c r="Z19" s="124"/>
      <c r="AA19" s="124"/>
      <c r="AB19" s="13"/>
      <c r="AC19" s="124"/>
      <c r="AD19" s="13"/>
      <c r="AE19" s="13"/>
      <c r="AF19" s="13"/>
      <c r="AG19" s="13"/>
      <c r="AH19" s="13"/>
      <c r="AI19" s="13"/>
      <c r="AJ19" s="13"/>
      <c r="AK19" s="13"/>
      <c r="AL19" s="13"/>
      <c r="AM19" s="13"/>
      <c r="AN19" s="13"/>
      <c r="AO19" s="13"/>
      <c r="AP19" s="13"/>
      <c r="AS19" s="13"/>
    </row>
    <row r="20" spans="1:45" hidden="1" x14ac:dyDescent="0.35">
      <c r="A20" s="28" t="s">
        <v>172</v>
      </c>
      <c r="B20" s="1">
        <f t="shared" si="12"/>
        <v>2024</v>
      </c>
      <c r="C20" s="75">
        <v>17967486.850000001</v>
      </c>
      <c r="D20" s="75">
        <f>D19+C20</f>
        <v>183900067.58999997</v>
      </c>
      <c r="E20" s="75">
        <v>1532500.78</v>
      </c>
      <c r="F20" s="75">
        <v>813533.07</v>
      </c>
      <c r="G20" s="75">
        <f t="shared" si="1"/>
        <v>8652245.7800000012</v>
      </c>
      <c r="H20" s="75">
        <v>-933763.69000000006</v>
      </c>
      <c r="I20" s="75">
        <f t="shared" si="2"/>
        <v>18781019.920000002</v>
      </c>
      <c r="J20" s="75">
        <f t="shared" si="3"/>
        <v>192552313.37</v>
      </c>
      <c r="K20" s="75">
        <f t="shared" si="4"/>
        <v>598737.09</v>
      </c>
      <c r="L20" s="75">
        <f t="shared" si="5"/>
        <v>24469167.760000002</v>
      </c>
      <c r="M20" s="75">
        <f t="shared" si="6"/>
        <v>18781019.920000002</v>
      </c>
      <c r="N20" s="75">
        <f t="shared" si="7"/>
        <v>5111039.7035130011</v>
      </c>
      <c r="O20" s="75">
        <f t="shared" si="8"/>
        <v>47248171.770255737</v>
      </c>
      <c r="P20" s="75">
        <f t="shared" si="0"/>
        <v>120834973.83974427</v>
      </c>
      <c r="Q20" s="75">
        <f>ROUND(P20*$Q$12,2)+66364.34</f>
        <v>985717.1</v>
      </c>
      <c r="R20" s="75">
        <v>630547.14</v>
      </c>
      <c r="S20" s="75">
        <f t="shared" si="10"/>
        <v>2215001.33</v>
      </c>
      <c r="T20" s="75">
        <f t="shared" si="11"/>
        <v>0</v>
      </c>
      <c r="U20" s="124"/>
      <c r="V20" s="124"/>
      <c r="W20" s="124"/>
      <c r="X20" s="124"/>
      <c r="Y20" s="124"/>
      <c r="Z20" s="124"/>
      <c r="AA20" s="124"/>
      <c r="AB20" s="13"/>
      <c r="AC20" s="124"/>
      <c r="AD20" s="13"/>
      <c r="AE20" s="13"/>
      <c r="AF20" s="13"/>
      <c r="AG20" s="13"/>
      <c r="AH20" s="13"/>
      <c r="AI20" s="13"/>
      <c r="AJ20" s="13"/>
      <c r="AK20" s="13"/>
      <c r="AL20" s="13"/>
      <c r="AM20" s="13"/>
      <c r="AN20" s="13"/>
      <c r="AO20" s="13"/>
      <c r="AP20" s="13"/>
      <c r="AS20" s="13"/>
    </row>
    <row r="21" spans="1:45" hidden="1" x14ac:dyDescent="0.35">
      <c r="A21" s="28" t="s">
        <v>173</v>
      </c>
      <c r="B21" s="1">
        <f t="shared" si="12"/>
        <v>2024</v>
      </c>
      <c r="C21" s="29">
        <v>18078145.789999995</v>
      </c>
      <c r="D21" s="75">
        <f>D20+C21</f>
        <v>201978213.37999997</v>
      </c>
      <c r="E21" s="29">
        <v>1683151.79</v>
      </c>
      <c r="F21" s="29">
        <v>497973.43</v>
      </c>
      <c r="G21" s="75">
        <f t="shared" si="1"/>
        <v>9150219.2100000009</v>
      </c>
      <c r="H21" s="29">
        <v>513177.19</v>
      </c>
      <c r="I21" s="29">
        <f t="shared" si="2"/>
        <v>18576119.219999995</v>
      </c>
      <c r="J21" s="75">
        <f t="shared" si="3"/>
        <v>211128432.59</v>
      </c>
      <c r="K21" s="75">
        <f t="shared" si="4"/>
        <v>2196328.98</v>
      </c>
      <c r="L21" s="75">
        <f t="shared" si="5"/>
        <v>26665496.740000002</v>
      </c>
      <c r="M21" s="29">
        <f t="shared" si="6"/>
        <v>18576119.219999995</v>
      </c>
      <c r="N21" s="29">
        <f t="shared" si="7"/>
        <v>4604359.0364639992</v>
      </c>
      <c r="O21" s="75">
        <f t="shared" si="8"/>
        <v>51852530.806719735</v>
      </c>
      <c r="P21" s="75">
        <f t="shared" si="0"/>
        <v>132610405.04328026</v>
      </c>
      <c r="Q21" s="29">
        <f t="shared" si="9"/>
        <v>1008944.17</v>
      </c>
      <c r="R21" s="29">
        <v>682740.72</v>
      </c>
      <c r="S21" s="29">
        <f t="shared" si="10"/>
        <v>3888013.87</v>
      </c>
      <c r="T21" s="75">
        <f t="shared" si="11"/>
        <v>0</v>
      </c>
      <c r="U21" s="124"/>
      <c r="V21" s="124">
        <f>J21-L21</f>
        <v>184462935.84999999</v>
      </c>
      <c r="W21" s="124"/>
      <c r="X21" s="124"/>
      <c r="Y21" s="124"/>
      <c r="Z21" s="124"/>
      <c r="AA21" s="124"/>
      <c r="AB21" s="13"/>
      <c r="AC21" s="124"/>
      <c r="AD21" s="13"/>
      <c r="AE21" s="13"/>
      <c r="AF21" s="13"/>
      <c r="AG21" s="13"/>
      <c r="AH21" s="13"/>
      <c r="AI21" s="13"/>
      <c r="AJ21" s="13"/>
      <c r="AK21" s="13"/>
      <c r="AL21" s="13"/>
      <c r="AM21" s="13"/>
      <c r="AN21" s="13"/>
      <c r="AO21" s="13"/>
      <c r="AP21" s="13"/>
      <c r="AS21" s="13"/>
    </row>
    <row r="22" spans="1:45" ht="15" hidden="1" thickBot="1" x14ac:dyDescent="0.4">
      <c r="A22" s="1" t="s">
        <v>149</v>
      </c>
      <c r="B22" s="1">
        <f t="shared" si="12"/>
        <v>2024</v>
      </c>
      <c r="C22" s="254">
        <f>SUM(C16:C21)</f>
        <v>74725774.559999987</v>
      </c>
      <c r="D22" s="124"/>
      <c r="E22" s="254">
        <f>SUM(E16:E21)</f>
        <v>8288489.7600000007</v>
      </c>
      <c r="F22" s="254">
        <f>SUM(F16:F21)</f>
        <v>3940426.1799999997</v>
      </c>
      <c r="G22" s="8"/>
      <c r="H22" s="254">
        <f>SUM(H16:H21)</f>
        <v>1862360.96</v>
      </c>
      <c r="I22" s="254">
        <f>SUM(I16:I21)</f>
        <v>78666200.739999995</v>
      </c>
      <c r="J22" s="13"/>
      <c r="K22" s="254">
        <f>SUM(K16:K21)</f>
        <v>10150850.720000001</v>
      </c>
      <c r="L22" s="13"/>
      <c r="M22" s="254">
        <f>SUM(M16:M21)</f>
        <v>78666200.739999995</v>
      </c>
      <c r="N22" s="254">
        <f>SUM(N16:N21)</f>
        <v>19259664.890622001</v>
      </c>
      <c r="O22" s="13"/>
      <c r="P22" s="13"/>
      <c r="Q22" s="254">
        <f>SUM(Q16:Q21)</f>
        <v>5016085.7200000007</v>
      </c>
      <c r="R22" s="254">
        <f>SUM(R16:R21)</f>
        <v>3063611.0600000005</v>
      </c>
      <c r="S22" s="254">
        <f>SUM(S16:S21)</f>
        <v>18230547.5</v>
      </c>
      <c r="T22" s="75">
        <f>+Q22+R22+K22-S22</f>
        <v>0</v>
      </c>
      <c r="AM22" s="13"/>
      <c r="AN22" s="13"/>
    </row>
    <row r="23" spans="1:45" ht="15" hidden="1" thickTop="1" x14ac:dyDescent="0.35">
      <c r="A23" s="1"/>
      <c r="B23" s="1"/>
      <c r="C23" s="129"/>
      <c r="D23" s="124"/>
      <c r="E23" s="129"/>
      <c r="F23" s="129"/>
      <c r="G23" s="8"/>
      <c r="H23" s="129"/>
      <c r="I23" s="129"/>
      <c r="J23" s="13"/>
      <c r="K23" s="129"/>
      <c r="L23" s="13"/>
      <c r="M23" s="129"/>
      <c r="N23" s="129"/>
      <c r="O23" s="13"/>
      <c r="P23" s="13"/>
      <c r="Q23" s="129"/>
      <c r="R23" s="129"/>
      <c r="S23" s="129"/>
      <c r="T23" s="75"/>
    </row>
    <row r="24" spans="1:45" hidden="1" x14ac:dyDescent="0.35">
      <c r="A24" t="s">
        <v>208</v>
      </c>
      <c r="D24" s="315"/>
      <c r="E24" s="315"/>
      <c r="F24" s="14"/>
      <c r="G24" s="8"/>
      <c r="J24" s="8"/>
      <c r="L24" s="8"/>
      <c r="M24" s="13"/>
      <c r="O24" s="8"/>
      <c r="P24" s="8"/>
      <c r="T24" s="75"/>
    </row>
    <row r="25" spans="1:45" ht="18.5" hidden="1" x14ac:dyDescent="0.45">
      <c r="A25" s="293" t="s">
        <v>176</v>
      </c>
      <c r="B25" s="293"/>
      <c r="C25" s="115"/>
      <c r="D25" s="26"/>
      <c r="E25" s="26"/>
      <c r="F25" s="26"/>
      <c r="G25" s="26"/>
      <c r="H25" s="26"/>
      <c r="I25" s="26"/>
      <c r="J25" s="26"/>
      <c r="K25" s="26"/>
      <c r="L25" s="26"/>
      <c r="M25" s="26"/>
      <c r="N25" s="26"/>
      <c r="O25" s="26"/>
      <c r="P25" s="26"/>
      <c r="Q25" s="26"/>
      <c r="R25" s="230"/>
      <c r="S25" s="230"/>
      <c r="T25" s="75"/>
      <c r="U25" s="124"/>
      <c r="V25" s="124"/>
      <c r="W25" s="124"/>
    </row>
    <row r="26" spans="1:45" ht="15.5" hidden="1" x14ac:dyDescent="0.35">
      <c r="A26" s="4"/>
      <c r="B26" s="4"/>
    </row>
    <row r="27" spans="1:45" ht="15.5" hidden="1" x14ac:dyDescent="0.35">
      <c r="C27" s="39" t="s">
        <v>177</v>
      </c>
      <c r="D27" s="30"/>
      <c r="E27" s="30"/>
      <c r="F27" s="30"/>
      <c r="G27" s="30"/>
      <c r="H27" s="30"/>
      <c r="I27" s="30"/>
      <c r="J27" s="30"/>
      <c r="K27" s="30"/>
      <c r="L27" s="2"/>
      <c r="M27" s="39" t="s">
        <v>178</v>
      </c>
      <c r="N27" s="30"/>
      <c r="O27" s="30"/>
      <c r="T27" s="75"/>
      <c r="U27" s="124"/>
      <c r="V27" s="124"/>
      <c r="W27" s="124"/>
    </row>
    <row r="28" spans="1:45" hidden="1" x14ac:dyDescent="0.35">
      <c r="C28" s="2" t="s">
        <v>179</v>
      </c>
      <c r="D28" s="2" t="s">
        <v>180</v>
      </c>
      <c r="E28" s="2" t="s">
        <v>179</v>
      </c>
      <c r="G28" s="2" t="s">
        <v>180</v>
      </c>
      <c r="H28" s="2" t="s">
        <v>179</v>
      </c>
      <c r="N28" s="2" t="s">
        <v>181</v>
      </c>
      <c r="T28" s="75"/>
      <c r="U28" s="124"/>
      <c r="V28" s="124"/>
      <c r="W28" s="13"/>
    </row>
    <row r="29" spans="1:45" hidden="1" x14ac:dyDescent="0.35">
      <c r="C29" s="2" t="s">
        <v>182</v>
      </c>
      <c r="D29" s="2" t="s">
        <v>179</v>
      </c>
      <c r="E29" s="2" t="s">
        <v>182</v>
      </c>
      <c r="F29" s="2" t="s">
        <v>183</v>
      </c>
      <c r="G29" s="2" t="s">
        <v>183</v>
      </c>
      <c r="H29" s="2" t="s">
        <v>184</v>
      </c>
      <c r="L29" s="2" t="s">
        <v>185</v>
      </c>
      <c r="N29" s="2" t="s">
        <v>186</v>
      </c>
      <c r="O29" s="316" t="s">
        <v>187</v>
      </c>
      <c r="T29" s="75"/>
      <c r="U29" s="124"/>
      <c r="V29" s="124"/>
    </row>
    <row r="30" spans="1:45" ht="15" hidden="1" thickBot="1" x14ac:dyDescent="0.4">
      <c r="C30" s="2" t="s">
        <v>188</v>
      </c>
      <c r="D30" s="2" t="s">
        <v>182</v>
      </c>
      <c r="E30" s="2" t="s">
        <v>189</v>
      </c>
      <c r="F30" s="2" t="s">
        <v>190</v>
      </c>
      <c r="G30" s="2" t="s">
        <v>190</v>
      </c>
      <c r="H30" s="2" t="s">
        <v>191</v>
      </c>
      <c r="J30" s="2" t="s">
        <v>180</v>
      </c>
      <c r="K30" s="2" t="s">
        <v>149</v>
      </c>
      <c r="L30" s="2" t="s">
        <v>149</v>
      </c>
      <c r="M30" s="2" t="s">
        <v>192</v>
      </c>
      <c r="N30" s="2" t="s">
        <v>192</v>
      </c>
      <c r="O30" s="2" t="s">
        <v>193</v>
      </c>
      <c r="Q30" s="312">
        <f>+'CAP-1 WACC'!F16</f>
        <v>7.6083333333333341E-3</v>
      </c>
      <c r="R30" s="319" t="s">
        <v>194</v>
      </c>
      <c r="S30" s="2" t="s">
        <v>112</v>
      </c>
      <c r="T30" s="75"/>
      <c r="U30" s="124"/>
      <c r="V30" s="124"/>
    </row>
    <row r="31" spans="1:45" hidden="1" x14ac:dyDescent="0.35">
      <c r="C31" s="2" t="s">
        <v>195</v>
      </c>
      <c r="D31" s="2" t="s">
        <v>189</v>
      </c>
      <c r="E31" s="2" t="s">
        <v>196</v>
      </c>
      <c r="F31" s="2" t="s">
        <v>191</v>
      </c>
      <c r="G31" s="2" t="s">
        <v>191</v>
      </c>
      <c r="H31" s="2" t="s">
        <v>197</v>
      </c>
      <c r="I31" s="2" t="s">
        <v>149</v>
      </c>
      <c r="J31" s="2" t="s">
        <v>149</v>
      </c>
      <c r="K31" s="2" t="s">
        <v>197</v>
      </c>
      <c r="L31" s="2" t="s">
        <v>197</v>
      </c>
      <c r="M31" s="2" t="s">
        <v>197</v>
      </c>
      <c r="N31" s="2" t="s">
        <v>198</v>
      </c>
      <c r="O31" s="2" t="s">
        <v>186</v>
      </c>
      <c r="P31" s="2" t="s">
        <v>199</v>
      </c>
      <c r="Q31" s="2" t="s">
        <v>200</v>
      </c>
      <c r="R31" s="2" t="s">
        <v>201</v>
      </c>
      <c r="S31" s="2" t="s">
        <v>202</v>
      </c>
      <c r="T31" s="75"/>
      <c r="U31" s="124"/>
      <c r="V31" s="124"/>
    </row>
    <row r="32" spans="1:45" ht="15" hidden="1" thickBot="1" x14ac:dyDescent="0.4">
      <c r="A32" s="313" t="s">
        <v>203</v>
      </c>
      <c r="B32" s="313" t="s">
        <v>156</v>
      </c>
      <c r="C32" s="313" t="s">
        <v>204</v>
      </c>
      <c r="D32" s="313" t="s">
        <v>204</v>
      </c>
      <c r="E32" s="313" t="s">
        <v>205</v>
      </c>
      <c r="F32" s="313" t="s">
        <v>204</v>
      </c>
      <c r="G32" s="313" t="s">
        <v>204</v>
      </c>
      <c r="H32" s="313" t="s">
        <v>205</v>
      </c>
      <c r="I32" s="313" t="s">
        <v>204</v>
      </c>
      <c r="J32" s="313" t="s">
        <v>204</v>
      </c>
      <c r="K32" s="313" t="s">
        <v>205</v>
      </c>
      <c r="L32" s="313" t="s">
        <v>205</v>
      </c>
      <c r="M32" s="313" t="s">
        <v>205</v>
      </c>
      <c r="N32" s="314">
        <v>0.28110000000000002</v>
      </c>
      <c r="O32" s="313" t="s">
        <v>192</v>
      </c>
      <c r="P32" s="313" t="s">
        <v>204</v>
      </c>
      <c r="Q32" s="313" t="s">
        <v>209</v>
      </c>
      <c r="R32" s="313" t="s">
        <v>205</v>
      </c>
      <c r="S32" s="313" t="s">
        <v>207</v>
      </c>
      <c r="T32" s="75"/>
    </row>
    <row r="33" spans="1:23" hidden="1" x14ac:dyDescent="0.35">
      <c r="A33" s="2"/>
      <c r="B33" s="2"/>
      <c r="D33" s="74"/>
      <c r="G33" s="74"/>
      <c r="I33" s="8"/>
      <c r="J33" s="74"/>
      <c r="K33" s="8"/>
      <c r="L33" s="74"/>
      <c r="N33" s="8"/>
      <c r="O33" s="74"/>
      <c r="P33" s="74"/>
      <c r="S33" s="8"/>
      <c r="T33" s="75"/>
    </row>
    <row r="34" spans="1:23" hidden="1" x14ac:dyDescent="0.35">
      <c r="A34" s="28" t="s">
        <v>162</v>
      </c>
      <c r="B34" s="1">
        <f>+B16+1</f>
        <v>2025</v>
      </c>
      <c r="C34" s="74">
        <v>2874044.36</v>
      </c>
      <c r="D34" s="75">
        <f>+D21+C34</f>
        <v>204852257.73999998</v>
      </c>
      <c r="E34" s="74">
        <v>1707102.1600000001</v>
      </c>
      <c r="F34" s="74">
        <v>521560.9</v>
      </c>
      <c r="G34" s="75">
        <f>+G21+F34</f>
        <v>9671780.1100000013</v>
      </c>
      <c r="H34" s="74">
        <v>529227.66</v>
      </c>
      <c r="I34" s="8">
        <f t="shared" ref="I34:I39" si="13">F34+C34</f>
        <v>3395605.26</v>
      </c>
      <c r="J34" s="74">
        <f>+J21+I34</f>
        <v>214524037.84999999</v>
      </c>
      <c r="K34" s="8">
        <f t="shared" ref="K34:K39" si="14">+H34+E34</f>
        <v>2236329.8200000003</v>
      </c>
      <c r="L34" s="74">
        <f>+L21+K34</f>
        <v>28901826.560000002</v>
      </c>
      <c r="M34" s="8">
        <f t="shared" ref="M34:M39" si="15">+I34</f>
        <v>3395605.26</v>
      </c>
      <c r="N34" s="8">
        <f t="shared" ref="N34:N39" si="16">(M34-K34)*N$14</f>
        <v>325872.32618399989</v>
      </c>
      <c r="O34" s="74">
        <f>+O21+N34</f>
        <v>52178403.132903732</v>
      </c>
      <c r="P34" s="75">
        <f>+J34-L34-O34</f>
        <v>133443808.15709627</v>
      </c>
      <c r="Q34" s="8">
        <f>ROUND(P34*$Q$12,2)</f>
        <v>1015284.97</v>
      </c>
      <c r="R34" s="8">
        <v>414637.47000000015</v>
      </c>
      <c r="S34" s="8">
        <f t="shared" ref="S34:S39" si="17">+R34+Q34+K34</f>
        <v>3666252.2600000007</v>
      </c>
      <c r="T34" s="75">
        <f>+Q34+R34+K34-S34</f>
        <v>0</v>
      </c>
      <c r="U34" s="8"/>
      <c r="V34" s="8"/>
    </row>
    <row r="35" spans="1:23" hidden="1" x14ac:dyDescent="0.35">
      <c r="A35" s="28" t="s">
        <v>163</v>
      </c>
      <c r="B35" s="1">
        <f t="shared" ref="B35:B40" si="18">+B34</f>
        <v>2025</v>
      </c>
      <c r="C35" s="29">
        <v>13218092.090000004</v>
      </c>
      <c r="D35" s="29">
        <f>+D34+C35</f>
        <v>218070349.82999998</v>
      </c>
      <c r="E35" s="29">
        <v>1817252.9300000002</v>
      </c>
      <c r="F35" s="29">
        <v>449547.51999999996</v>
      </c>
      <c r="G35" s="29">
        <f>+G34+F35</f>
        <v>10121327.630000001</v>
      </c>
      <c r="H35" s="29">
        <v>532326.53</v>
      </c>
      <c r="I35" s="29">
        <f t="shared" si="13"/>
        <v>13667639.610000003</v>
      </c>
      <c r="J35" s="29">
        <f>+I35+J34</f>
        <v>228191677.46000001</v>
      </c>
      <c r="K35" s="29">
        <f t="shared" si="14"/>
        <v>2349579.46</v>
      </c>
      <c r="L35" s="29">
        <f>+L34+K35</f>
        <v>31251406.020000003</v>
      </c>
      <c r="M35" s="29">
        <f t="shared" si="15"/>
        <v>13667639.610000003</v>
      </c>
      <c r="N35" s="75">
        <f t="shared" si="16"/>
        <v>3181506.7081650007</v>
      </c>
      <c r="O35" s="29">
        <f>O34+N35</f>
        <v>55359909.84106873</v>
      </c>
      <c r="P35" s="29">
        <f t="shared" ref="P35:P39" si="19">+J35-L35-O35</f>
        <v>141580361.59893125</v>
      </c>
      <c r="Q35" s="29">
        <f t="shared" ref="Q35:Q39" si="20">ROUND(P35*$Q$12,2)</f>
        <v>1077190.58</v>
      </c>
      <c r="R35" s="29">
        <v>276830.10999999993</v>
      </c>
      <c r="S35" s="29">
        <f t="shared" si="17"/>
        <v>3703600.15</v>
      </c>
      <c r="T35" s="75">
        <f t="shared" ref="T35:T40" si="21">+Q35+R35+K35-S35</f>
        <v>0</v>
      </c>
      <c r="U35" s="29"/>
      <c r="V35" s="8"/>
    </row>
    <row r="36" spans="1:23" hidden="1" x14ac:dyDescent="0.35">
      <c r="A36" s="28" t="s">
        <v>164</v>
      </c>
      <c r="B36" s="1">
        <f t="shared" si="18"/>
        <v>2025</v>
      </c>
      <c r="C36" s="29">
        <v>-8465664.0299999993</v>
      </c>
      <c r="D36" s="29">
        <f>+D35+C36</f>
        <v>209604685.79999998</v>
      </c>
      <c r="E36" s="29">
        <v>1746705.73</v>
      </c>
      <c r="F36" s="29">
        <v>341048.44</v>
      </c>
      <c r="G36" s="29">
        <f>+G35+F36</f>
        <v>10462376.07</v>
      </c>
      <c r="H36" s="29">
        <v>539155.61999999988</v>
      </c>
      <c r="I36" s="29">
        <f t="shared" si="13"/>
        <v>-8124615.5899999989</v>
      </c>
      <c r="J36" s="29">
        <f>+I36+J35</f>
        <v>220067061.87</v>
      </c>
      <c r="K36" s="29">
        <f t="shared" si="14"/>
        <v>2285861.3499999996</v>
      </c>
      <c r="L36" s="29">
        <f>+L35+K36</f>
        <v>33537267.370000005</v>
      </c>
      <c r="M36" s="29">
        <f t="shared" si="15"/>
        <v>-8124615.5899999989</v>
      </c>
      <c r="N36" s="75">
        <f t="shared" si="16"/>
        <v>-2926385.0678339996</v>
      </c>
      <c r="O36" s="29">
        <f>O35+N36</f>
        <v>52433524.773234732</v>
      </c>
      <c r="P36" s="29">
        <f t="shared" si="19"/>
        <v>134096269.72676528</v>
      </c>
      <c r="Q36" s="29">
        <f t="shared" si="20"/>
        <v>1020249.12</v>
      </c>
      <c r="R36" s="29">
        <v>155436.85999999996</v>
      </c>
      <c r="S36" s="29">
        <f t="shared" si="17"/>
        <v>3461547.3299999996</v>
      </c>
      <c r="T36" s="75">
        <f t="shared" si="21"/>
        <v>0</v>
      </c>
      <c r="U36" s="29"/>
      <c r="V36" s="8"/>
    </row>
    <row r="37" spans="1:23" hidden="1" x14ac:dyDescent="0.35">
      <c r="A37" s="28" t="s">
        <v>165</v>
      </c>
      <c r="B37" s="1">
        <f t="shared" si="18"/>
        <v>2025</v>
      </c>
      <c r="C37" s="29">
        <v>20611064.149999999</v>
      </c>
      <c r="D37" s="29">
        <f>+D36+C37</f>
        <v>230215749.94999999</v>
      </c>
      <c r="E37" s="29">
        <v>1918464.6</v>
      </c>
      <c r="F37" s="29">
        <v>179709.56</v>
      </c>
      <c r="G37" s="29">
        <f>+G36+F37</f>
        <v>10642085.630000001</v>
      </c>
      <c r="H37" s="29">
        <v>532307.01</v>
      </c>
      <c r="I37" s="29">
        <f t="shared" si="13"/>
        <v>20790773.709999997</v>
      </c>
      <c r="J37" s="29">
        <f>+I37+J36</f>
        <v>240857835.58000001</v>
      </c>
      <c r="K37" s="29">
        <f t="shared" si="14"/>
        <v>2450771.6100000003</v>
      </c>
      <c r="L37" s="29">
        <f>+L36+K37</f>
        <v>35988038.980000004</v>
      </c>
      <c r="M37" s="29">
        <f>+I37</f>
        <v>20790773.709999997</v>
      </c>
      <c r="N37" s="75">
        <f t="shared" si="16"/>
        <v>5155374.5903099999</v>
      </c>
      <c r="O37" s="29">
        <f>O36+N37</f>
        <v>57588899.363544732</v>
      </c>
      <c r="P37" s="29">
        <f t="shared" si="19"/>
        <v>147280897.23645529</v>
      </c>
      <c r="Q37" s="29">
        <f t="shared" si="20"/>
        <v>1120562.1599999999</v>
      </c>
      <c r="R37" s="29">
        <v>-602.04000000000997</v>
      </c>
      <c r="S37" s="29">
        <f t="shared" si="17"/>
        <v>3570731.7300000004</v>
      </c>
      <c r="T37" s="75">
        <f t="shared" si="21"/>
        <v>0</v>
      </c>
      <c r="U37" s="29"/>
      <c r="V37" s="8"/>
    </row>
    <row r="38" spans="1:23" hidden="1" x14ac:dyDescent="0.35">
      <c r="A38" s="28" t="s">
        <v>166</v>
      </c>
      <c r="B38" s="1">
        <f t="shared" si="18"/>
        <v>2025</v>
      </c>
      <c r="C38" s="29">
        <v>6335476.5200000014</v>
      </c>
      <c r="D38" s="29">
        <f>+D37+C38</f>
        <v>236551226.47</v>
      </c>
      <c r="E38" s="29">
        <v>1974367.25</v>
      </c>
      <c r="F38" s="29">
        <v>186420.78</v>
      </c>
      <c r="G38" s="29">
        <f>+G37+F38</f>
        <v>10828506.41</v>
      </c>
      <c r="H38" s="29">
        <v>515402.24999999994</v>
      </c>
      <c r="I38" s="29">
        <f t="shared" si="13"/>
        <v>6521897.3000000017</v>
      </c>
      <c r="J38" s="29">
        <f>+I38+J37</f>
        <v>247379732.88000003</v>
      </c>
      <c r="K38" s="29">
        <f t="shared" si="14"/>
        <v>2489769.5</v>
      </c>
      <c r="L38" s="29">
        <f>+L37+K38</f>
        <v>38477808.480000004</v>
      </c>
      <c r="M38" s="29">
        <f t="shared" si="15"/>
        <v>6521897.3000000017</v>
      </c>
      <c r="N38" s="75">
        <f t="shared" si="16"/>
        <v>1133431.1245800005</v>
      </c>
      <c r="O38" s="29">
        <f>O37+N38</f>
        <v>58722330.488124736</v>
      </c>
      <c r="P38" s="29">
        <f t="shared" si="19"/>
        <v>150179593.91187531</v>
      </c>
      <c r="Q38" s="29">
        <f t="shared" si="20"/>
        <v>1142616.4099999999</v>
      </c>
      <c r="R38" s="29">
        <v>3489.0500000000025</v>
      </c>
      <c r="S38" s="29">
        <f t="shared" si="17"/>
        <v>3635874.96</v>
      </c>
      <c r="T38" s="75">
        <f t="shared" si="21"/>
        <v>0</v>
      </c>
      <c r="U38" s="320">
        <v>3635874.9604983511</v>
      </c>
      <c r="V38" s="12">
        <f>S38-U38</f>
        <v>-4.9835117533802986E-4</v>
      </c>
    </row>
    <row r="39" spans="1:23" hidden="1" x14ac:dyDescent="0.35">
      <c r="A39" s="28" t="s">
        <v>167</v>
      </c>
      <c r="B39" s="1">
        <f t="shared" si="18"/>
        <v>2025</v>
      </c>
      <c r="C39" s="29">
        <v>4360603.6499999994</v>
      </c>
      <c r="D39" s="29">
        <f>+D38+C39</f>
        <v>240911830.12</v>
      </c>
      <c r="E39" s="29">
        <v>2004491.59</v>
      </c>
      <c r="F39" s="29">
        <v>268784.05000000005</v>
      </c>
      <c r="G39" s="75">
        <f>+G38+F39</f>
        <v>11097290.460000001</v>
      </c>
      <c r="H39" s="75">
        <v>490624.73999999993</v>
      </c>
      <c r="I39" s="29">
        <f t="shared" si="13"/>
        <v>4629387.6999999993</v>
      </c>
      <c r="J39" s="75">
        <f>+I39+J38</f>
        <v>252009120.58000001</v>
      </c>
      <c r="K39" s="29">
        <f t="shared" si="14"/>
        <v>2495116.33</v>
      </c>
      <c r="L39" s="75">
        <f>+L38+K39</f>
        <v>40972924.810000002</v>
      </c>
      <c r="M39" s="29">
        <f t="shared" si="15"/>
        <v>4629387.6999999993</v>
      </c>
      <c r="N39" s="29">
        <f t="shared" si="16"/>
        <v>599943.6821069998</v>
      </c>
      <c r="O39" s="75">
        <f>O38+N39</f>
        <v>59322274.170231737</v>
      </c>
      <c r="P39" s="75">
        <f t="shared" si="19"/>
        <v>151713921.59976828</v>
      </c>
      <c r="Q39" s="29">
        <f t="shared" si="20"/>
        <v>1154290.0900000001</v>
      </c>
      <c r="R39" s="29">
        <v>-11532.5</v>
      </c>
      <c r="S39" s="29">
        <f t="shared" si="17"/>
        <v>3637873.92</v>
      </c>
      <c r="T39" s="75">
        <f t="shared" si="21"/>
        <v>0</v>
      </c>
      <c r="U39" s="320">
        <v>3637873.9169904036</v>
      </c>
      <c r="V39" s="12">
        <f>S39-U39</f>
        <v>3.00959637388587E-3</v>
      </c>
    </row>
    <row r="40" spans="1:23" ht="15" hidden="1" thickBot="1" x14ac:dyDescent="0.4">
      <c r="A40" s="1" t="s">
        <v>149</v>
      </c>
      <c r="B40" s="1">
        <f t="shared" si="18"/>
        <v>2025</v>
      </c>
      <c r="C40" s="254">
        <f>+C22+SUM(C34:C39)</f>
        <v>113659391.29999998</v>
      </c>
      <c r="D40" s="8"/>
      <c r="E40" s="254">
        <f>+E22+SUM(E34:E39)</f>
        <v>19456874.02</v>
      </c>
      <c r="F40" s="254">
        <f>+F22+SUM(F34:F39)</f>
        <v>5887497.4299999997</v>
      </c>
      <c r="H40" s="254">
        <f>+H22+SUM(H34:H39)</f>
        <v>5001404.7699999996</v>
      </c>
      <c r="I40" s="254">
        <f>+I22+SUM(I34:I39)</f>
        <v>119546888.73</v>
      </c>
      <c r="J40" s="8"/>
      <c r="K40" s="254">
        <f>+K22+SUM(K34:K39)</f>
        <v>24458278.789999999</v>
      </c>
      <c r="L40" s="8"/>
      <c r="M40" s="254">
        <f>+M22+SUM(M34:M39)</f>
        <v>119546888.73</v>
      </c>
      <c r="N40" s="254">
        <f>+N22+SUM(N34:N39)</f>
        <v>26729408.254134003</v>
      </c>
      <c r="Q40" s="254">
        <f>+Q22+SUM(Q34:Q39)</f>
        <v>11546279.050000001</v>
      </c>
      <c r="R40" s="254">
        <f>+R22+SUM(R34:R39)</f>
        <v>3901870.0100000007</v>
      </c>
      <c r="S40" s="254">
        <f>+S22+SUM(S34:S39)</f>
        <v>39906427.850000001</v>
      </c>
      <c r="T40" s="75">
        <f t="shared" si="21"/>
        <v>0</v>
      </c>
    </row>
    <row r="41" spans="1:23" ht="15" hidden="1" thickTop="1" x14ac:dyDescent="0.35">
      <c r="A41" s="1"/>
      <c r="B41" s="1"/>
      <c r="C41" s="129"/>
      <c r="D41" s="8"/>
      <c r="E41" s="129"/>
      <c r="F41" s="129"/>
      <c r="H41" s="129"/>
      <c r="I41" s="129"/>
      <c r="J41" s="8"/>
      <c r="K41" s="129"/>
      <c r="L41" s="8"/>
      <c r="M41" s="129"/>
      <c r="N41" s="129"/>
      <c r="Q41" s="129"/>
      <c r="R41" s="129"/>
      <c r="S41" s="129"/>
      <c r="T41" s="75"/>
    </row>
    <row r="42" spans="1:23" hidden="1" x14ac:dyDescent="0.35">
      <c r="A42" s="1"/>
      <c r="B42" s="1"/>
      <c r="C42" s="129"/>
      <c r="D42" s="8"/>
      <c r="E42" s="129"/>
      <c r="F42" s="129"/>
      <c r="H42" s="129"/>
      <c r="I42" s="129"/>
      <c r="J42" s="8"/>
      <c r="K42" s="129"/>
      <c r="L42" s="8"/>
      <c r="M42" s="129"/>
      <c r="N42" s="129"/>
      <c r="Q42" s="129"/>
      <c r="R42" s="129"/>
      <c r="S42" s="129"/>
      <c r="T42" s="75"/>
    </row>
    <row r="43" spans="1:23" ht="18.5" x14ac:dyDescent="0.45">
      <c r="A43" s="293" t="s">
        <v>176</v>
      </c>
      <c r="B43" s="293"/>
      <c r="C43" s="115"/>
      <c r="D43" s="26"/>
      <c r="E43" s="26"/>
      <c r="F43" s="26"/>
      <c r="G43" s="26"/>
      <c r="H43" s="26"/>
      <c r="I43" s="26"/>
      <c r="J43" s="26"/>
      <c r="K43" s="26"/>
      <c r="L43" s="26"/>
      <c r="M43" s="26"/>
      <c r="N43" s="26"/>
      <c r="O43" s="26"/>
      <c r="P43" s="26"/>
      <c r="Q43" s="26"/>
      <c r="R43" s="230"/>
      <c r="S43" s="230"/>
      <c r="T43" s="75"/>
      <c r="U43" s="124"/>
      <c r="V43" s="124"/>
      <c r="W43" s="124"/>
    </row>
    <row r="44" spans="1:23" ht="15.5" x14ac:dyDescent="0.35">
      <c r="A44" s="4"/>
      <c r="B44" s="4"/>
    </row>
    <row r="45" spans="1:23" ht="15.5" x14ac:dyDescent="0.35">
      <c r="C45" s="39" t="s">
        <v>177</v>
      </c>
      <c r="D45" s="30"/>
      <c r="E45" s="30"/>
      <c r="F45" s="30"/>
      <c r="G45" s="30"/>
      <c r="H45" s="30"/>
      <c r="I45" s="30"/>
      <c r="J45" s="30"/>
      <c r="K45" s="30"/>
      <c r="L45" s="2"/>
      <c r="M45" s="39" t="s">
        <v>178</v>
      </c>
      <c r="N45" s="30"/>
      <c r="O45" s="30"/>
      <c r="T45" s="75"/>
      <c r="U45" s="124"/>
      <c r="V45" s="124"/>
      <c r="W45" s="124"/>
    </row>
    <row r="46" spans="1:23" x14ac:dyDescent="0.35">
      <c r="C46" s="2" t="s">
        <v>179</v>
      </c>
      <c r="D46" s="2" t="s">
        <v>180</v>
      </c>
      <c r="E46" s="2" t="s">
        <v>179</v>
      </c>
      <c r="G46" s="2" t="s">
        <v>180</v>
      </c>
      <c r="H46" s="2" t="s">
        <v>179</v>
      </c>
      <c r="N46" s="2" t="s">
        <v>181</v>
      </c>
      <c r="T46" s="75"/>
      <c r="U46" s="124"/>
      <c r="V46" s="124"/>
      <c r="W46" s="13"/>
    </row>
    <row r="47" spans="1:23" ht="15" thickBot="1" x14ac:dyDescent="0.4">
      <c r="C47" s="2" t="s">
        <v>182</v>
      </c>
      <c r="D47" s="2" t="s">
        <v>179</v>
      </c>
      <c r="E47" s="2" t="s">
        <v>182</v>
      </c>
      <c r="F47" s="2" t="s">
        <v>183</v>
      </c>
      <c r="G47" s="2" t="s">
        <v>183</v>
      </c>
      <c r="H47" s="2" t="s">
        <v>184</v>
      </c>
      <c r="L47" s="2" t="s">
        <v>185</v>
      </c>
      <c r="N47" s="2" t="s">
        <v>186</v>
      </c>
      <c r="O47" s="316" t="s">
        <v>187</v>
      </c>
      <c r="T47" s="75"/>
      <c r="U47" s="124"/>
      <c r="V47" s="124"/>
    </row>
    <row r="48" spans="1:23" ht="15" thickBot="1" x14ac:dyDescent="0.4">
      <c r="C48" s="2" t="s">
        <v>188</v>
      </c>
      <c r="D48" s="2" t="s">
        <v>182</v>
      </c>
      <c r="E48" s="2" t="s">
        <v>189</v>
      </c>
      <c r="F48" s="2" t="s">
        <v>190</v>
      </c>
      <c r="G48" s="2" t="s">
        <v>190</v>
      </c>
      <c r="H48" s="2" t="s">
        <v>191</v>
      </c>
      <c r="J48" s="2" t="s">
        <v>180</v>
      </c>
      <c r="K48" s="2" t="s">
        <v>149</v>
      </c>
      <c r="L48" s="2" t="s">
        <v>149</v>
      </c>
      <c r="M48" s="2" t="s">
        <v>192</v>
      </c>
      <c r="N48" s="2" t="s">
        <v>192</v>
      </c>
      <c r="O48" s="2" t="s">
        <v>193</v>
      </c>
      <c r="Q48" s="312">
        <f>'CAP-1 WACC'!F16</f>
        <v>7.6083333333333341E-3</v>
      </c>
      <c r="R48" s="319" t="s">
        <v>194</v>
      </c>
      <c r="S48" s="2" t="s">
        <v>112</v>
      </c>
      <c r="T48" s="75"/>
      <c r="U48" s="124"/>
      <c r="V48" s="124"/>
    </row>
    <row r="49" spans="1:22" ht="15" thickBot="1" x14ac:dyDescent="0.4">
      <c r="C49" s="2" t="s">
        <v>195</v>
      </c>
      <c r="D49" s="2" t="s">
        <v>189</v>
      </c>
      <c r="E49" s="2" t="s">
        <v>196</v>
      </c>
      <c r="F49" s="2" t="s">
        <v>191</v>
      </c>
      <c r="G49" s="2" t="s">
        <v>191</v>
      </c>
      <c r="H49" s="2" t="s">
        <v>197</v>
      </c>
      <c r="I49" s="2" t="s">
        <v>149</v>
      </c>
      <c r="J49" s="2" t="s">
        <v>149</v>
      </c>
      <c r="K49" s="2" t="s">
        <v>197</v>
      </c>
      <c r="L49" s="2" t="s">
        <v>197</v>
      </c>
      <c r="M49" s="2" t="s">
        <v>197</v>
      </c>
      <c r="N49" s="2" t="s">
        <v>198</v>
      </c>
      <c r="O49" s="2" t="s">
        <v>186</v>
      </c>
      <c r="P49" s="2" t="s">
        <v>199</v>
      </c>
      <c r="Q49" s="2" t="s">
        <v>200</v>
      </c>
      <c r="R49" s="2" t="s">
        <v>201</v>
      </c>
      <c r="S49" s="2" t="s">
        <v>202</v>
      </c>
      <c r="T49" s="75"/>
      <c r="U49" s="124"/>
      <c r="V49" s="124"/>
    </row>
    <row r="50" spans="1:22" ht="15" thickBot="1" x14ac:dyDescent="0.4">
      <c r="A50" s="313" t="s">
        <v>203</v>
      </c>
      <c r="B50" s="313" t="s">
        <v>156</v>
      </c>
      <c r="C50" s="313" t="s">
        <v>204</v>
      </c>
      <c r="D50" s="313" t="s">
        <v>204</v>
      </c>
      <c r="E50" s="313" t="s">
        <v>205</v>
      </c>
      <c r="F50" s="313" t="s">
        <v>204</v>
      </c>
      <c r="G50" s="313" t="s">
        <v>204</v>
      </c>
      <c r="H50" s="313" t="s">
        <v>205</v>
      </c>
      <c r="I50" s="313" t="s">
        <v>204</v>
      </c>
      <c r="J50" s="313" t="s">
        <v>204</v>
      </c>
      <c r="K50" s="313" t="s">
        <v>205</v>
      </c>
      <c r="L50" s="313" t="s">
        <v>205</v>
      </c>
      <c r="M50" s="313" t="s">
        <v>205</v>
      </c>
      <c r="N50" s="314">
        <v>0.28110000000000002</v>
      </c>
      <c r="O50" s="313" t="s">
        <v>192</v>
      </c>
      <c r="P50" s="313" t="s">
        <v>204</v>
      </c>
      <c r="Q50" s="313" t="s">
        <v>209</v>
      </c>
      <c r="R50" s="313" t="s">
        <v>205</v>
      </c>
      <c r="S50" s="313" t="s">
        <v>207</v>
      </c>
      <c r="T50" s="75"/>
    </row>
    <row r="51" spans="1:22" x14ac:dyDescent="0.35">
      <c r="A51" s="2"/>
      <c r="B51" s="2"/>
      <c r="D51" s="74">
        <f>D39</f>
        <v>240911830.12</v>
      </c>
      <c r="G51" s="74">
        <f>G39</f>
        <v>11097290.460000001</v>
      </c>
      <c r="I51" s="8"/>
      <c r="J51" s="74">
        <f>J39</f>
        <v>252009120.58000001</v>
      </c>
      <c r="K51" s="8"/>
      <c r="L51" s="74">
        <f>L39</f>
        <v>40972924.810000002</v>
      </c>
      <c r="N51" s="8"/>
      <c r="O51" s="74">
        <f>O39</f>
        <v>59322274.170231737</v>
      </c>
      <c r="P51" s="74">
        <f>P39</f>
        <v>151713921.59976828</v>
      </c>
      <c r="S51" s="8"/>
      <c r="T51" s="75"/>
    </row>
    <row r="52" spans="1:22" x14ac:dyDescent="0.35">
      <c r="A52" s="28" t="s">
        <v>168</v>
      </c>
      <c r="B52" s="1">
        <v>2025</v>
      </c>
      <c r="C52" s="74">
        <v>852332.44000000029</v>
      </c>
      <c r="D52" s="75">
        <f>+D39+C52</f>
        <v>241764162.56</v>
      </c>
      <c r="E52" s="74">
        <v>2014701.37</v>
      </c>
      <c r="F52" s="74">
        <v>102962.92</v>
      </c>
      <c r="G52" s="75">
        <f t="shared" ref="G52:G57" si="22">+G51+F52</f>
        <v>11200253.380000001</v>
      </c>
      <c r="H52" s="74">
        <v>452627.22</v>
      </c>
      <c r="I52" s="8">
        <f t="shared" ref="I52:I57" si="23">F52+C52</f>
        <v>955295.36000000034</v>
      </c>
      <c r="J52" s="75">
        <f>+J51+I52</f>
        <v>252964415.94000003</v>
      </c>
      <c r="K52" s="8">
        <f t="shared" ref="K52:K57" si="24">+H52+E52</f>
        <v>2467328.59</v>
      </c>
      <c r="L52" s="75">
        <f t="shared" ref="L52:L57" si="25">+L51+K52</f>
        <v>43440253.400000006</v>
      </c>
      <c r="M52" s="8">
        <f>+I52</f>
        <v>955295.36000000034</v>
      </c>
      <c r="N52" s="8">
        <f>(M52-K52)*N$50</f>
        <v>-425032.5409529999</v>
      </c>
      <c r="O52" s="75">
        <f>+O51+N52</f>
        <v>58897241.629278734</v>
      </c>
      <c r="P52" s="75">
        <f t="shared" ref="P52:P57" si="26">+J52-L52-O52</f>
        <v>150626920.9107213</v>
      </c>
      <c r="Q52" s="8">
        <f t="shared" ref="Q52:Q57" si="27">ROUND(P52*$Q$48,2)</f>
        <v>1146019.82</v>
      </c>
      <c r="R52" s="8">
        <v>-2057.54</v>
      </c>
      <c r="S52" s="8">
        <f t="shared" ref="S52:S57" si="28">+R52+Q52+K52</f>
        <v>3611290.87</v>
      </c>
      <c r="T52" s="75">
        <f>+Q52+R52+K52-S52</f>
        <v>0</v>
      </c>
      <c r="U52" s="8">
        <v>3611290.8734145714</v>
      </c>
      <c r="V52" s="12">
        <f t="shared" ref="V52:V54" si="29">S52-U52</f>
        <v>-3.4145712852478027E-3</v>
      </c>
    </row>
    <row r="53" spans="1:22" x14ac:dyDescent="0.35">
      <c r="A53" s="28" t="s">
        <v>169</v>
      </c>
      <c r="B53" s="1">
        <f t="shared" ref="B53:B58" si="30">+B52</f>
        <v>2025</v>
      </c>
      <c r="C53" s="29">
        <v>-1355063.6599999997</v>
      </c>
      <c r="D53" s="29">
        <f>+D52+C53</f>
        <v>240409098.90000001</v>
      </c>
      <c r="E53" s="29">
        <v>2003409.17</v>
      </c>
      <c r="F53" s="29">
        <v>175556.87</v>
      </c>
      <c r="G53" s="29">
        <f t="shared" si="22"/>
        <v>11375810.25</v>
      </c>
      <c r="H53" s="29">
        <v>401639.65999999992</v>
      </c>
      <c r="I53" s="29">
        <f t="shared" si="23"/>
        <v>-1179506.7899999996</v>
      </c>
      <c r="J53" s="29">
        <f>+I53+J52</f>
        <v>251784909.15000004</v>
      </c>
      <c r="K53" s="29">
        <f t="shared" si="24"/>
        <v>2405048.83</v>
      </c>
      <c r="L53" s="29">
        <f t="shared" si="25"/>
        <v>45845302.230000004</v>
      </c>
      <c r="M53" s="29">
        <f>+I53</f>
        <v>-1179506.7899999996</v>
      </c>
      <c r="N53" s="75">
        <f t="shared" ref="N53:N57" si="31">(M53-K53)*N$50</f>
        <v>-1007618.5847819999</v>
      </c>
      <c r="O53" s="29">
        <f>O52+N53</f>
        <v>57889623.044496737</v>
      </c>
      <c r="P53" s="29">
        <f t="shared" si="26"/>
        <v>148049983.87550327</v>
      </c>
      <c r="Q53" s="29">
        <f t="shared" si="27"/>
        <v>1126413.6299999999</v>
      </c>
      <c r="R53" s="29">
        <v>-209.9</v>
      </c>
      <c r="S53" s="29">
        <f t="shared" si="28"/>
        <v>3531252.56</v>
      </c>
      <c r="T53" s="75">
        <f t="shared" ref="T53:T57" si="32">+Q53+R53+K53-S53</f>
        <v>0</v>
      </c>
      <c r="U53" s="29">
        <v>3531252.5574716209</v>
      </c>
      <c r="V53" s="12">
        <f t="shared" si="29"/>
        <v>2.5283792056143284E-3</v>
      </c>
    </row>
    <row r="54" spans="1:22" x14ac:dyDescent="0.35">
      <c r="A54" s="28" t="s">
        <v>170</v>
      </c>
      <c r="B54" s="1">
        <f t="shared" si="30"/>
        <v>2025</v>
      </c>
      <c r="C54" s="29">
        <v>-7613661.2999999998</v>
      </c>
      <c r="D54" s="29">
        <f>+D53+C54</f>
        <v>232795437.59999999</v>
      </c>
      <c r="E54" s="29">
        <v>1939961.99</v>
      </c>
      <c r="F54" s="29">
        <v>93469.58</v>
      </c>
      <c r="G54" s="29">
        <f t="shared" si="22"/>
        <v>11469279.83</v>
      </c>
      <c r="H54" s="29">
        <v>353123.72</v>
      </c>
      <c r="I54" s="29">
        <f t="shared" si="23"/>
        <v>-7520191.7199999997</v>
      </c>
      <c r="J54" s="29">
        <f>+I54+J53</f>
        <v>244264717.43000004</v>
      </c>
      <c r="K54" s="29">
        <f t="shared" si="24"/>
        <v>2293085.71</v>
      </c>
      <c r="L54" s="29">
        <f t="shared" si="25"/>
        <v>48138387.940000005</v>
      </c>
      <c r="M54" s="29">
        <f t="shared" ref="M54:M57" si="33">+I54</f>
        <v>-7520191.7199999997</v>
      </c>
      <c r="N54" s="75">
        <f t="shared" si="31"/>
        <v>-2758512.2855730001</v>
      </c>
      <c r="O54" s="29">
        <f>O53+N54</f>
        <v>55131110.758923739</v>
      </c>
      <c r="P54" s="29">
        <f t="shared" si="26"/>
        <v>140995218.7310763</v>
      </c>
      <c r="Q54" s="29">
        <f t="shared" si="27"/>
        <v>1072738.6200000001</v>
      </c>
      <c r="R54" s="29">
        <v>0</v>
      </c>
      <c r="S54" s="29">
        <f t="shared" si="28"/>
        <v>3365824.33</v>
      </c>
      <c r="T54" s="75">
        <f t="shared" si="32"/>
        <v>0</v>
      </c>
      <c r="U54" s="29">
        <v>3365824.3326644385</v>
      </c>
      <c r="V54" s="12">
        <f t="shared" si="29"/>
        <v>-2.6644384488463402E-3</v>
      </c>
    </row>
    <row r="55" spans="1:22" x14ac:dyDescent="0.35">
      <c r="A55" s="28" t="s">
        <v>171</v>
      </c>
      <c r="B55" s="1">
        <f t="shared" si="30"/>
        <v>2025</v>
      </c>
      <c r="C55" s="29">
        <v>-8293.2200000000012</v>
      </c>
      <c r="D55" s="29">
        <f>+D54+C55</f>
        <v>232787144.38</v>
      </c>
      <c r="E55" s="29">
        <v>1939892.8800000001</v>
      </c>
      <c r="F55" s="29">
        <v>0</v>
      </c>
      <c r="G55" s="29">
        <f t="shared" si="22"/>
        <v>11469279.83</v>
      </c>
      <c r="H55" s="29">
        <v>302547.28999999992</v>
      </c>
      <c r="I55" s="29">
        <f t="shared" si="23"/>
        <v>-8293.2200000000012</v>
      </c>
      <c r="J55" s="29">
        <f>+I55+J54</f>
        <v>244256424.21000004</v>
      </c>
      <c r="K55" s="29">
        <f t="shared" si="24"/>
        <v>2242440.17</v>
      </c>
      <c r="L55" s="29">
        <f t="shared" si="25"/>
        <v>50380828.110000007</v>
      </c>
      <c r="M55" s="29">
        <f t="shared" si="33"/>
        <v>-8293.2200000000012</v>
      </c>
      <c r="N55" s="75">
        <f t="shared" si="31"/>
        <v>-632681.15592900012</v>
      </c>
      <c r="O55" s="29">
        <f>O54+N55</f>
        <v>54498429.60299474</v>
      </c>
      <c r="P55" s="29">
        <f t="shared" si="26"/>
        <v>139377166.49700528</v>
      </c>
      <c r="Q55" s="29">
        <f t="shared" si="27"/>
        <v>1060427.94</v>
      </c>
      <c r="R55" s="29">
        <v>0</v>
      </c>
      <c r="S55" s="29">
        <f t="shared" si="28"/>
        <v>3302868.11</v>
      </c>
      <c r="T55" s="75">
        <f t="shared" si="32"/>
        <v>0</v>
      </c>
      <c r="U55" s="29">
        <v>3302868.111916882</v>
      </c>
      <c r="V55" s="12">
        <f>S55-U55</f>
        <v>-1.9168821163475513E-3</v>
      </c>
    </row>
    <row r="56" spans="1:22" x14ac:dyDescent="0.35">
      <c r="A56" s="28" t="s">
        <v>172</v>
      </c>
      <c r="B56" s="1">
        <f t="shared" si="30"/>
        <v>2025</v>
      </c>
      <c r="C56" s="29">
        <v>-1174171.1399999997</v>
      </c>
      <c r="D56" s="29">
        <f>+D55+C56</f>
        <v>231612973.24000001</v>
      </c>
      <c r="E56" s="29">
        <v>1930108.12</v>
      </c>
      <c r="F56" s="29">
        <v>2464.21</v>
      </c>
      <c r="G56" s="29">
        <f t="shared" si="22"/>
        <v>11471744.040000001</v>
      </c>
      <c r="H56" s="29">
        <v>234958.14000000013</v>
      </c>
      <c r="I56" s="29">
        <f t="shared" si="23"/>
        <v>-1171706.9299999997</v>
      </c>
      <c r="J56" s="29">
        <f>+I56+J55</f>
        <v>243084717.28000003</v>
      </c>
      <c r="K56" s="29">
        <f t="shared" si="24"/>
        <v>2165066.2600000002</v>
      </c>
      <c r="L56" s="29">
        <f t="shared" si="25"/>
        <v>52545894.370000005</v>
      </c>
      <c r="M56" s="29">
        <f t="shared" si="33"/>
        <v>-1171706.9299999997</v>
      </c>
      <c r="N56" s="75">
        <f t="shared" si="31"/>
        <v>-937966.94370900001</v>
      </c>
      <c r="O56" s="29">
        <f>O55+N56</f>
        <v>53560462.659285739</v>
      </c>
      <c r="P56" s="29">
        <f t="shared" si="26"/>
        <v>136978360.2507143</v>
      </c>
      <c r="Q56" s="29">
        <f t="shared" si="27"/>
        <v>1042177.02</v>
      </c>
      <c r="R56" s="29"/>
      <c r="S56" s="29">
        <f t="shared" si="28"/>
        <v>3207243.2800000003</v>
      </c>
      <c r="T56" s="75">
        <f t="shared" si="32"/>
        <v>0</v>
      </c>
      <c r="U56" s="75">
        <v>3207243.2843930181</v>
      </c>
      <c r="V56" s="12">
        <f>S56-U56</f>
        <v>-4.3930178508162498E-3</v>
      </c>
    </row>
    <row r="57" spans="1:22" x14ac:dyDescent="0.35">
      <c r="A57" s="28" t="s">
        <v>173</v>
      </c>
      <c r="B57" s="1">
        <f t="shared" si="30"/>
        <v>2025</v>
      </c>
      <c r="C57" s="29">
        <v>-756184.30999999994</v>
      </c>
      <c r="D57" s="29">
        <f>+D56+C57</f>
        <v>230856788.93000001</v>
      </c>
      <c r="E57" s="29">
        <v>1923806.58</v>
      </c>
      <c r="F57" s="29">
        <v>0</v>
      </c>
      <c r="G57" s="75">
        <f t="shared" si="22"/>
        <v>11471744.040000001</v>
      </c>
      <c r="H57" s="75">
        <v>193460.38</v>
      </c>
      <c r="I57" s="29">
        <f t="shared" si="23"/>
        <v>-756184.30999999994</v>
      </c>
      <c r="J57" s="75">
        <f>+I57+J56</f>
        <v>242328532.97000003</v>
      </c>
      <c r="K57" s="29">
        <f t="shared" si="24"/>
        <v>2117266.96</v>
      </c>
      <c r="L57" s="75">
        <f t="shared" si="25"/>
        <v>54663161.330000006</v>
      </c>
      <c r="M57" s="29">
        <f t="shared" si="33"/>
        <v>-756184.30999999994</v>
      </c>
      <c r="N57" s="29">
        <f t="shared" si="31"/>
        <v>-807727.1519970001</v>
      </c>
      <c r="O57" s="75">
        <f>O56+N57</f>
        <v>52752735.507288739</v>
      </c>
      <c r="P57" s="75">
        <f t="shared" si="26"/>
        <v>134912636.13271129</v>
      </c>
      <c r="Q57" s="29">
        <f t="shared" si="27"/>
        <v>1026460.31</v>
      </c>
      <c r="R57" s="29"/>
      <c r="S57" s="29">
        <f t="shared" si="28"/>
        <v>3143727.27</v>
      </c>
      <c r="T57" s="75">
        <f t="shared" si="32"/>
        <v>0</v>
      </c>
      <c r="U57" s="75">
        <v>3143727.2667285446</v>
      </c>
      <c r="V57" s="12">
        <f>S57-U57</f>
        <v>3.2714554108679295E-3</v>
      </c>
    </row>
    <row r="58" spans="1:22" ht="15" thickBot="1" x14ac:dyDescent="0.4">
      <c r="A58" s="1" t="s">
        <v>149</v>
      </c>
      <c r="B58" s="1">
        <f t="shared" si="30"/>
        <v>2025</v>
      </c>
      <c r="C58" s="254">
        <f>SUM(C52:C57)</f>
        <v>-10055041.189999999</v>
      </c>
      <c r="D58" s="8"/>
      <c r="E58" s="254">
        <f>SUM(E52:E57)</f>
        <v>11751880.110000001</v>
      </c>
      <c r="F58" s="254">
        <f>SUM(F52:F57)</f>
        <v>374453.58</v>
      </c>
      <c r="H58" s="254">
        <f>SUM(H52:H57)</f>
        <v>1938356.4099999997</v>
      </c>
      <c r="I58" s="254">
        <f>SUM(I52:I57)</f>
        <v>-9680587.6099999975</v>
      </c>
      <c r="J58" s="8"/>
      <c r="K58" s="254">
        <f>SUM(K52:K57)</f>
        <v>13690236.52</v>
      </c>
      <c r="L58" s="8"/>
      <c r="M58" s="254">
        <f>SUM(M52:M57)</f>
        <v>-9680587.6099999975</v>
      </c>
      <c r="N58" s="254">
        <f>SUM(N52:N57)</f>
        <v>-6569538.662943</v>
      </c>
      <c r="Q58" s="254">
        <f>SUM(Q52:Q57)</f>
        <v>6474237.3399999999</v>
      </c>
      <c r="R58" s="254">
        <f>SUM(R52:R57)</f>
        <v>-2267.44</v>
      </c>
      <c r="S58" s="254">
        <f>SUM(S52:S57)</f>
        <v>20162206.419999998</v>
      </c>
      <c r="T58" s="75"/>
      <c r="U58" t="s">
        <v>210</v>
      </c>
    </row>
    <row r="59" spans="1:22" ht="15" thickTop="1" x14ac:dyDescent="0.35">
      <c r="A59" s="1"/>
      <c r="B59" s="1"/>
      <c r="C59" s="129"/>
      <c r="D59" s="8"/>
      <c r="E59" s="129"/>
      <c r="F59" s="129"/>
      <c r="H59" s="129"/>
      <c r="I59" s="129"/>
      <c r="J59" s="8"/>
      <c r="K59" s="129"/>
      <c r="L59" s="8"/>
      <c r="M59" s="129"/>
      <c r="N59" s="129"/>
      <c r="Q59" s="129"/>
      <c r="R59" s="129"/>
      <c r="S59" s="129"/>
      <c r="T59" s="75"/>
    </row>
    <row r="60" spans="1:22" x14ac:dyDescent="0.35">
      <c r="A60" s="1"/>
      <c r="B60" s="1"/>
      <c r="C60" s="129"/>
      <c r="D60" s="8"/>
      <c r="E60" s="129"/>
      <c r="F60" s="129"/>
      <c r="H60" s="129"/>
      <c r="I60" s="129"/>
      <c r="J60" s="8"/>
      <c r="K60" s="129"/>
      <c r="L60" s="8"/>
      <c r="M60" s="129"/>
      <c r="N60" s="129"/>
      <c r="Q60" s="129"/>
      <c r="R60" s="129"/>
      <c r="S60" s="129"/>
      <c r="T60" s="75"/>
    </row>
    <row r="61" spans="1:22" ht="18.5" x14ac:dyDescent="0.45">
      <c r="A61" s="293" t="s">
        <v>211</v>
      </c>
      <c r="B61" s="293"/>
      <c r="C61" s="115"/>
      <c r="D61" s="26"/>
      <c r="E61" s="26"/>
      <c r="F61" s="26"/>
      <c r="G61" s="26"/>
      <c r="H61" s="26"/>
      <c r="I61" s="26"/>
      <c r="J61" s="26"/>
      <c r="K61" s="26"/>
      <c r="L61" s="26"/>
      <c r="M61" s="26"/>
      <c r="N61" s="26"/>
      <c r="O61" s="26"/>
      <c r="P61" s="26"/>
      <c r="Q61" s="26"/>
      <c r="R61" s="230"/>
      <c r="S61" s="230"/>
      <c r="T61" s="75"/>
    </row>
    <row r="62" spans="1:22" ht="15.5" x14ac:dyDescent="0.35">
      <c r="A62" s="4"/>
      <c r="B62" s="4"/>
      <c r="T62" s="75"/>
    </row>
    <row r="63" spans="1:22" ht="15.5" x14ac:dyDescent="0.35">
      <c r="C63" s="39" t="s">
        <v>177</v>
      </c>
      <c r="D63" s="30"/>
      <c r="E63" s="30"/>
      <c r="F63" s="30"/>
      <c r="G63" s="30"/>
      <c r="H63" s="30"/>
      <c r="I63" s="30"/>
      <c r="J63" s="30"/>
      <c r="K63" s="30"/>
      <c r="L63" s="2"/>
      <c r="M63" s="39" t="s">
        <v>178</v>
      </c>
      <c r="N63" s="30"/>
      <c r="O63" s="30"/>
      <c r="T63" s="75"/>
    </row>
    <row r="64" spans="1:22" x14ac:dyDescent="0.35">
      <c r="C64" s="2" t="s">
        <v>179</v>
      </c>
      <c r="D64" s="2" t="s">
        <v>180</v>
      </c>
      <c r="E64" s="2" t="s">
        <v>179</v>
      </c>
      <c r="G64" s="2" t="s">
        <v>180</v>
      </c>
      <c r="H64" s="2" t="s">
        <v>179</v>
      </c>
      <c r="N64" s="2" t="s">
        <v>181</v>
      </c>
      <c r="T64" s="75"/>
    </row>
    <row r="65" spans="1:21" ht="15" thickBot="1" x14ac:dyDescent="0.4">
      <c r="C65" s="2" t="s">
        <v>182</v>
      </c>
      <c r="D65" s="2" t="s">
        <v>179</v>
      </c>
      <c r="E65" s="2" t="s">
        <v>182</v>
      </c>
      <c r="F65" s="2" t="s">
        <v>183</v>
      </c>
      <c r="G65" s="2" t="s">
        <v>183</v>
      </c>
      <c r="H65" s="2" t="s">
        <v>184</v>
      </c>
      <c r="L65" s="2" t="s">
        <v>185</v>
      </c>
      <c r="N65" s="2" t="s">
        <v>186</v>
      </c>
      <c r="O65" s="316" t="s">
        <v>187</v>
      </c>
      <c r="T65" s="75"/>
    </row>
    <row r="66" spans="1:21" ht="15" thickBot="1" x14ac:dyDescent="0.4">
      <c r="C66" s="2" t="s">
        <v>188</v>
      </c>
      <c r="D66" s="2" t="s">
        <v>182</v>
      </c>
      <c r="E66" s="2" t="s">
        <v>189</v>
      </c>
      <c r="F66" s="2" t="s">
        <v>190</v>
      </c>
      <c r="G66" s="2" t="s">
        <v>190</v>
      </c>
      <c r="H66" s="2" t="s">
        <v>191</v>
      </c>
      <c r="J66" s="2" t="s">
        <v>180</v>
      </c>
      <c r="K66" s="2" t="s">
        <v>149</v>
      </c>
      <c r="L66" s="2" t="s">
        <v>149</v>
      </c>
      <c r="M66" s="2" t="s">
        <v>192</v>
      </c>
      <c r="N66" s="2" t="s">
        <v>192</v>
      </c>
      <c r="O66" s="2" t="s">
        <v>193</v>
      </c>
      <c r="Q66" s="312">
        <f>Q48</f>
        <v>7.6083333333333341E-3</v>
      </c>
      <c r="R66" s="319" t="s">
        <v>194</v>
      </c>
      <c r="S66" s="2" t="s">
        <v>112</v>
      </c>
      <c r="T66" s="75"/>
    </row>
    <row r="67" spans="1:21" ht="15" thickBot="1" x14ac:dyDescent="0.4">
      <c r="C67" s="2" t="s">
        <v>195</v>
      </c>
      <c r="D67" s="2" t="s">
        <v>189</v>
      </c>
      <c r="E67" s="2" t="s">
        <v>196</v>
      </c>
      <c r="F67" s="2" t="s">
        <v>191</v>
      </c>
      <c r="G67" s="2" t="s">
        <v>191</v>
      </c>
      <c r="H67" s="2" t="s">
        <v>197</v>
      </c>
      <c r="I67" s="2" t="s">
        <v>149</v>
      </c>
      <c r="J67" s="2" t="s">
        <v>149</v>
      </c>
      <c r="K67" s="2" t="s">
        <v>197</v>
      </c>
      <c r="L67" s="2" t="s">
        <v>197</v>
      </c>
      <c r="M67" s="2" t="s">
        <v>197</v>
      </c>
      <c r="N67" s="2" t="s">
        <v>198</v>
      </c>
      <c r="O67" s="2" t="s">
        <v>186</v>
      </c>
      <c r="P67" s="2" t="s">
        <v>199</v>
      </c>
      <c r="Q67" s="2" t="s">
        <v>200</v>
      </c>
      <c r="R67" s="2" t="s">
        <v>201</v>
      </c>
      <c r="S67" s="2" t="s">
        <v>202</v>
      </c>
      <c r="T67" s="75"/>
    </row>
    <row r="68" spans="1:21" ht="15" thickBot="1" x14ac:dyDescent="0.4">
      <c r="A68" s="313" t="s">
        <v>203</v>
      </c>
      <c r="B68" s="313" t="s">
        <v>156</v>
      </c>
      <c r="C68" s="313" t="s">
        <v>204</v>
      </c>
      <c r="D68" s="313" t="s">
        <v>204</v>
      </c>
      <c r="E68" s="313" t="s">
        <v>205</v>
      </c>
      <c r="F68" s="313" t="s">
        <v>204</v>
      </c>
      <c r="G68" s="313" t="s">
        <v>204</v>
      </c>
      <c r="H68" s="313" t="s">
        <v>205</v>
      </c>
      <c r="I68" s="313" t="s">
        <v>204</v>
      </c>
      <c r="J68" s="313" t="s">
        <v>204</v>
      </c>
      <c r="K68" s="313" t="s">
        <v>205</v>
      </c>
      <c r="L68" s="313" t="s">
        <v>205</v>
      </c>
      <c r="M68" s="313" t="s">
        <v>205</v>
      </c>
      <c r="N68" s="314">
        <v>0.28110000000000002</v>
      </c>
      <c r="O68" s="313" t="s">
        <v>192</v>
      </c>
      <c r="P68" s="313" t="s">
        <v>204</v>
      </c>
      <c r="Q68" s="313" t="s">
        <v>209</v>
      </c>
      <c r="R68" s="313" t="s">
        <v>205</v>
      </c>
      <c r="S68" s="313" t="s">
        <v>207</v>
      </c>
      <c r="T68" s="75"/>
    </row>
    <row r="69" spans="1:21" x14ac:dyDescent="0.35">
      <c r="A69" s="2"/>
      <c r="B69" s="2"/>
      <c r="D69" s="74"/>
      <c r="G69" s="74"/>
      <c r="I69" s="8"/>
      <c r="J69" s="74"/>
      <c r="K69" s="8"/>
      <c r="L69" s="74"/>
      <c r="N69" s="8"/>
      <c r="O69" s="74"/>
      <c r="P69" s="74"/>
      <c r="S69" s="8"/>
      <c r="T69" s="75"/>
    </row>
    <row r="70" spans="1:21" x14ac:dyDescent="0.35">
      <c r="A70" s="28" t="s">
        <v>162</v>
      </c>
      <c r="B70" s="1">
        <v>2026</v>
      </c>
      <c r="C70" s="74">
        <v>0</v>
      </c>
      <c r="D70" s="74">
        <f>+D57+C70</f>
        <v>230856788.93000001</v>
      </c>
      <c r="E70" s="74">
        <f>E57</f>
        <v>1923806.58</v>
      </c>
      <c r="F70" s="74">
        <v>0</v>
      </c>
      <c r="G70" s="74">
        <f>+G57+F70</f>
        <v>11471744.040000001</v>
      </c>
      <c r="H70" s="74">
        <v>149996.99</v>
      </c>
      <c r="I70" s="8">
        <f t="shared" ref="I70:I75" si="34">F70+C70</f>
        <v>0</v>
      </c>
      <c r="J70" s="74">
        <f>+J57+I70</f>
        <v>242328532.97000003</v>
      </c>
      <c r="K70" s="8">
        <f t="shared" ref="K70:K75" si="35">+H70+E70</f>
        <v>2073803.57</v>
      </c>
      <c r="L70" s="74">
        <f>+L57+K70</f>
        <v>56736964.900000006</v>
      </c>
      <c r="M70" s="8">
        <f t="shared" ref="M70:M72" si="36">+I70</f>
        <v>0</v>
      </c>
      <c r="N70" s="8">
        <f t="shared" ref="N70:N75" si="37">(M70-K70)*N$14</f>
        <v>-582946.18352700002</v>
      </c>
      <c r="O70" s="74">
        <f>+O57+N70</f>
        <v>52169789.323761739</v>
      </c>
      <c r="P70" s="74">
        <f t="shared" ref="P70:P75" si="38">+J70-L70-O70</f>
        <v>133421778.74623829</v>
      </c>
      <c r="Q70" s="8">
        <f t="shared" ref="Q70:Q75" si="39">ROUND(P70*$Q$66,2)</f>
        <v>1015117.37</v>
      </c>
      <c r="R70" s="8">
        <v>0</v>
      </c>
      <c r="S70" s="8">
        <f t="shared" ref="S70:S75" si="40">+R70+Q70+K70</f>
        <v>3088920.94</v>
      </c>
      <c r="T70" s="75"/>
    </row>
    <row r="71" spans="1:21" x14ac:dyDescent="0.35">
      <c r="A71" s="28" t="s">
        <v>163</v>
      </c>
      <c r="B71" s="1">
        <f t="shared" ref="B71:B76" si="41">+B70</f>
        <v>2026</v>
      </c>
      <c r="C71" s="29">
        <v>0</v>
      </c>
      <c r="D71" s="29">
        <f>+D70+C71</f>
        <v>230856788.93000001</v>
      </c>
      <c r="E71" s="29">
        <f>E70</f>
        <v>1923806.58</v>
      </c>
      <c r="F71" s="29">
        <v>0</v>
      </c>
      <c r="G71" s="29">
        <f>+G70+F71</f>
        <v>11471744.040000001</v>
      </c>
      <c r="H71" s="29">
        <v>112534.74</v>
      </c>
      <c r="I71" s="29">
        <f t="shared" si="34"/>
        <v>0</v>
      </c>
      <c r="J71" s="29">
        <f>+I71+J70</f>
        <v>242328532.97000003</v>
      </c>
      <c r="K71" s="29">
        <f t="shared" si="35"/>
        <v>2036341.32</v>
      </c>
      <c r="L71" s="29">
        <f>+L70+K71</f>
        <v>58773306.220000006</v>
      </c>
      <c r="M71" s="29">
        <f t="shared" si="36"/>
        <v>0</v>
      </c>
      <c r="N71" s="75">
        <f t="shared" si="37"/>
        <v>-572415.54505200009</v>
      </c>
      <c r="O71" s="29">
        <f>O70+N71</f>
        <v>51597373.778709739</v>
      </c>
      <c r="P71" s="29">
        <f t="shared" si="38"/>
        <v>131957852.97129029</v>
      </c>
      <c r="Q71" s="29">
        <f t="shared" si="39"/>
        <v>1003979.33</v>
      </c>
      <c r="R71" s="29">
        <v>0</v>
      </c>
      <c r="S71" s="29">
        <f t="shared" si="40"/>
        <v>3040320.65</v>
      </c>
      <c r="T71" s="75"/>
    </row>
    <row r="72" spans="1:21" x14ac:dyDescent="0.35">
      <c r="A72" s="28" t="s">
        <v>164</v>
      </c>
      <c r="B72" s="1">
        <f t="shared" si="41"/>
        <v>2026</v>
      </c>
      <c r="C72" s="29">
        <v>0</v>
      </c>
      <c r="D72" s="29">
        <f>+D71+C72</f>
        <v>230856788.93000001</v>
      </c>
      <c r="E72" s="29">
        <f t="shared" ref="E72:E75" si="42">E71</f>
        <v>1923806.58</v>
      </c>
      <c r="F72" s="29">
        <v>0</v>
      </c>
      <c r="G72" s="29">
        <f>+G71+F72</f>
        <v>11471744.040000001</v>
      </c>
      <c r="H72" s="29">
        <v>84114</v>
      </c>
      <c r="I72" s="29">
        <f t="shared" si="34"/>
        <v>0</v>
      </c>
      <c r="J72" s="29">
        <f>+I72+J71</f>
        <v>242328532.97000003</v>
      </c>
      <c r="K72" s="29">
        <f t="shared" si="35"/>
        <v>2007920.58</v>
      </c>
      <c r="L72" s="29">
        <f>+L71+K72</f>
        <v>60781226.800000004</v>
      </c>
      <c r="M72" s="29">
        <f t="shared" si="36"/>
        <v>0</v>
      </c>
      <c r="N72" s="75">
        <f t="shared" si="37"/>
        <v>-564426.47503800003</v>
      </c>
      <c r="O72" s="29">
        <f>O71+N72</f>
        <v>51032947.30367174</v>
      </c>
      <c r="P72" s="29">
        <f t="shared" si="38"/>
        <v>130514358.86632827</v>
      </c>
      <c r="Q72" s="29">
        <f t="shared" si="39"/>
        <v>992996.75</v>
      </c>
      <c r="R72" s="29">
        <v>0</v>
      </c>
      <c r="S72" s="29">
        <f t="shared" si="40"/>
        <v>3000917.33</v>
      </c>
      <c r="T72" s="75"/>
    </row>
    <row r="73" spans="1:21" x14ac:dyDescent="0.35">
      <c r="A73" s="28" t="s">
        <v>165</v>
      </c>
      <c r="B73" s="1">
        <f t="shared" si="41"/>
        <v>2026</v>
      </c>
      <c r="C73" s="29">
        <v>0</v>
      </c>
      <c r="D73" s="29">
        <f>+D72+C73</f>
        <v>230856788.93000001</v>
      </c>
      <c r="E73" s="29">
        <f t="shared" si="42"/>
        <v>1923806.58</v>
      </c>
      <c r="F73" s="29">
        <v>0</v>
      </c>
      <c r="G73" s="29">
        <f>+G72+F73</f>
        <v>11471744.040000001</v>
      </c>
      <c r="H73" s="29">
        <v>69138.14</v>
      </c>
      <c r="I73" s="29">
        <f t="shared" si="34"/>
        <v>0</v>
      </c>
      <c r="J73" s="29">
        <f>+I73+J72</f>
        <v>242328532.97000003</v>
      </c>
      <c r="K73" s="29">
        <f t="shared" si="35"/>
        <v>1992944.72</v>
      </c>
      <c r="L73" s="29">
        <f>+L72+K73</f>
        <v>62774171.520000003</v>
      </c>
      <c r="M73" s="29">
        <f>+I73</f>
        <v>0</v>
      </c>
      <c r="N73" s="75">
        <f t="shared" si="37"/>
        <v>-560216.76079199999</v>
      </c>
      <c r="O73" s="29">
        <f>O72+N73</f>
        <v>50472730.542879738</v>
      </c>
      <c r="P73" s="29">
        <f t="shared" si="38"/>
        <v>129081630.90712029</v>
      </c>
      <c r="Q73" s="29">
        <f t="shared" si="39"/>
        <v>982096.08</v>
      </c>
      <c r="R73" s="29">
        <v>0</v>
      </c>
      <c r="S73" s="29">
        <f t="shared" si="40"/>
        <v>2975040.8</v>
      </c>
    </row>
    <row r="74" spans="1:21" x14ac:dyDescent="0.35">
      <c r="A74" s="28" t="s">
        <v>166</v>
      </c>
      <c r="B74" s="1">
        <f t="shared" si="41"/>
        <v>2026</v>
      </c>
      <c r="C74" s="29">
        <v>0</v>
      </c>
      <c r="D74" s="29">
        <f>+D73+C74</f>
        <v>230856788.93000001</v>
      </c>
      <c r="E74" s="29">
        <f t="shared" si="42"/>
        <v>1923806.58</v>
      </c>
      <c r="F74" s="29">
        <v>0</v>
      </c>
      <c r="G74" s="29">
        <f>+G73+F74</f>
        <v>11471744.040000001</v>
      </c>
      <c r="H74" s="29">
        <v>53603.13</v>
      </c>
      <c r="I74" s="29">
        <f t="shared" si="34"/>
        <v>0</v>
      </c>
      <c r="J74" s="29">
        <f>+I74+J73</f>
        <v>242328532.97000003</v>
      </c>
      <c r="K74" s="29">
        <f t="shared" si="35"/>
        <v>1977409.71</v>
      </c>
      <c r="L74" s="29">
        <f>+L73+K74</f>
        <v>64751581.230000004</v>
      </c>
      <c r="M74" s="29">
        <f t="shared" ref="M74:M75" si="43">+I74</f>
        <v>0</v>
      </c>
      <c r="N74" s="75">
        <f t="shared" si="37"/>
        <v>-555849.869481</v>
      </c>
      <c r="O74" s="29">
        <f>O73+N74</f>
        <v>49916880.673398741</v>
      </c>
      <c r="P74" s="29">
        <f t="shared" si="38"/>
        <v>127660071.06660128</v>
      </c>
      <c r="Q74" s="29">
        <f t="shared" si="39"/>
        <v>971280.37</v>
      </c>
      <c r="R74" s="29"/>
      <c r="S74" s="29">
        <f t="shared" si="40"/>
        <v>2948690.08</v>
      </c>
    </row>
    <row r="75" spans="1:21" x14ac:dyDescent="0.35">
      <c r="A75" s="28" t="s">
        <v>167</v>
      </c>
      <c r="B75" s="1">
        <f t="shared" si="41"/>
        <v>2026</v>
      </c>
      <c r="C75" s="29">
        <v>0</v>
      </c>
      <c r="D75" s="29">
        <f>+D74+C75</f>
        <v>230856788.93000001</v>
      </c>
      <c r="E75" s="29">
        <f t="shared" si="42"/>
        <v>1923806.58</v>
      </c>
      <c r="F75" s="29">
        <v>0</v>
      </c>
      <c r="G75" s="75">
        <f>+G74+F75</f>
        <v>11471744.040000001</v>
      </c>
      <c r="H75" s="75">
        <v>31204.47</v>
      </c>
      <c r="I75" s="29">
        <f t="shared" si="34"/>
        <v>0</v>
      </c>
      <c r="J75" s="75">
        <f>+I75+J74</f>
        <v>242328532.97000003</v>
      </c>
      <c r="K75" s="29">
        <f t="shared" si="35"/>
        <v>1955011.05</v>
      </c>
      <c r="L75" s="75">
        <f>+L74+K75</f>
        <v>66706592.280000001</v>
      </c>
      <c r="M75" s="29">
        <f t="shared" si="43"/>
        <v>0</v>
      </c>
      <c r="N75" s="29">
        <f t="shared" si="37"/>
        <v>-549553.60615500004</v>
      </c>
      <c r="O75" s="75">
        <f>O74+N75</f>
        <v>49367327.06724374</v>
      </c>
      <c r="P75" s="75">
        <f t="shared" si="38"/>
        <v>126254613.62275629</v>
      </c>
      <c r="Q75" s="29">
        <f t="shared" si="39"/>
        <v>960587.19</v>
      </c>
      <c r="R75" s="29"/>
      <c r="S75" s="29">
        <f t="shared" si="40"/>
        <v>2915598.24</v>
      </c>
      <c r="T75" s="124"/>
      <c r="U75" s="8"/>
    </row>
    <row r="76" spans="1:21" ht="15" thickBot="1" x14ac:dyDescent="0.4">
      <c r="A76" s="1" t="s">
        <v>149</v>
      </c>
      <c r="B76" s="1">
        <f t="shared" si="41"/>
        <v>2026</v>
      </c>
      <c r="C76" s="254">
        <f>+C58+SUM(C70:C75)</f>
        <v>-10055041.189999999</v>
      </c>
      <c r="D76" s="8"/>
      <c r="E76" s="254">
        <f>+E58+SUM(E70:E75)</f>
        <v>23294719.590000004</v>
      </c>
      <c r="F76" s="254">
        <f>+F58+SUM(F70:F75)</f>
        <v>374453.58</v>
      </c>
      <c r="H76" s="254">
        <f>+H58+SUM(H70:H75)</f>
        <v>2438947.88</v>
      </c>
      <c r="I76" s="254">
        <f>+I58+SUM(I70:I75)</f>
        <v>-9680587.6099999975</v>
      </c>
      <c r="J76" s="8"/>
      <c r="K76" s="254">
        <f>+K58+SUM(K70:K75)</f>
        <v>25733667.469999999</v>
      </c>
      <c r="L76" s="8"/>
      <c r="M76" s="254">
        <f>+M58+SUM(M70:M75)</f>
        <v>-9680587.6099999975</v>
      </c>
      <c r="N76" s="254">
        <f>+N58+SUM(N70:N75)</f>
        <v>-9954947.102988001</v>
      </c>
      <c r="Q76" s="254">
        <f>+Q58+SUM(Q70:Q75)</f>
        <v>12400294.43</v>
      </c>
      <c r="R76" s="254">
        <f>+R58+SUM(R70:R75)</f>
        <v>-2267.44</v>
      </c>
      <c r="S76" s="254">
        <f>+S58+SUM(S70:S75)</f>
        <v>38131694.459999993</v>
      </c>
      <c r="T76" s="124"/>
      <c r="U76" s="29"/>
    </row>
    <row r="77" spans="1:21" ht="15" thickTop="1" x14ac:dyDescent="0.35">
      <c r="H77" s="8"/>
      <c r="S77" s="8"/>
      <c r="T77" s="124"/>
      <c r="U77" s="29"/>
    </row>
    <row r="78" spans="1:21" x14ac:dyDescent="0.35">
      <c r="H78" s="8"/>
      <c r="S78" s="8"/>
      <c r="T78" s="124"/>
      <c r="U78" s="29"/>
    </row>
    <row r="79" spans="1:21" x14ac:dyDescent="0.35">
      <c r="H79" s="12"/>
      <c r="U79" s="8"/>
    </row>
    <row r="80" spans="1:21" x14ac:dyDescent="0.35">
      <c r="U80" s="12"/>
    </row>
    <row r="95" spans="1:39" hidden="1" x14ac:dyDescent="0.35">
      <c r="A95" t="s">
        <v>212</v>
      </c>
      <c r="AA95" s="321"/>
      <c r="AB95" s="321"/>
      <c r="AC95" s="321"/>
      <c r="AD95" s="321"/>
      <c r="AE95" s="321"/>
      <c r="AF95" s="321"/>
      <c r="AG95" s="321">
        <v>309369.08846227074</v>
      </c>
      <c r="AH95" s="321">
        <v>309369.08846227074</v>
      </c>
      <c r="AI95" s="321">
        <v>309369.08846227074</v>
      </c>
      <c r="AJ95" s="321">
        <v>309369.08846227074</v>
      </c>
      <c r="AK95" s="321">
        <v>309369.08846227074</v>
      </c>
      <c r="AL95" s="321">
        <v>309369.08846227074</v>
      </c>
      <c r="AM95" t="s">
        <v>213</v>
      </c>
    </row>
    <row r="96" spans="1:39" hidden="1" x14ac:dyDescent="0.35">
      <c r="S96" s="5"/>
      <c r="U96" s="321">
        <v>202927</v>
      </c>
      <c r="V96" s="321">
        <v>-101573.58</v>
      </c>
      <c r="W96" s="321">
        <v>-76292.12</v>
      </c>
      <c r="X96" s="321">
        <v>141848.94</v>
      </c>
      <c r="Y96" s="321">
        <v>417507.39</v>
      </c>
      <c r="Z96" s="321">
        <v>103315.5</v>
      </c>
      <c r="AA96" s="321">
        <v>-251434.62</v>
      </c>
      <c r="AB96" s="321">
        <v>556685.54</v>
      </c>
      <c r="AC96" s="321">
        <v>-508942.37</v>
      </c>
      <c r="AD96" s="321">
        <v>146727.94</v>
      </c>
      <c r="AE96" s="321">
        <v>147620.5</v>
      </c>
      <c r="AF96" s="321">
        <v>-275540.53999999998</v>
      </c>
      <c r="AM96" t="s">
        <v>214</v>
      </c>
    </row>
    <row r="97" spans="1:40" s="1" customFormat="1" hidden="1" x14ac:dyDescent="0.35">
      <c r="C97" s="28">
        <v>44378</v>
      </c>
      <c r="D97" s="28">
        <v>44409</v>
      </c>
      <c r="E97" s="28">
        <v>44440</v>
      </c>
      <c r="F97" s="28">
        <v>44470</v>
      </c>
      <c r="G97" s="28">
        <v>44501</v>
      </c>
      <c r="H97" s="28">
        <v>44531</v>
      </c>
      <c r="I97" s="28">
        <v>44562</v>
      </c>
      <c r="J97" s="28">
        <v>44593</v>
      </c>
      <c r="K97" s="28">
        <v>44621</v>
      </c>
      <c r="L97" s="28">
        <v>44652</v>
      </c>
      <c r="M97" s="28">
        <v>44682</v>
      </c>
      <c r="N97" s="28">
        <v>44713</v>
      </c>
      <c r="O97" s="28">
        <v>44743</v>
      </c>
      <c r="P97" s="28">
        <v>44774</v>
      </c>
      <c r="Q97" s="28">
        <v>44805</v>
      </c>
      <c r="R97" s="28">
        <v>44835</v>
      </c>
      <c r="S97" s="28">
        <v>44866</v>
      </c>
      <c r="T97" s="28">
        <v>44896</v>
      </c>
      <c r="U97" s="28">
        <v>44927</v>
      </c>
      <c r="V97" s="28">
        <v>44958</v>
      </c>
      <c r="W97" s="28">
        <v>44986</v>
      </c>
      <c r="X97" s="28">
        <v>45017</v>
      </c>
      <c r="Y97" s="28">
        <v>45047</v>
      </c>
      <c r="Z97" s="28">
        <v>45078</v>
      </c>
      <c r="AA97" s="28">
        <v>45108</v>
      </c>
      <c r="AB97" s="28">
        <v>45139</v>
      </c>
      <c r="AC97" s="28">
        <v>45170</v>
      </c>
      <c r="AD97" s="28">
        <v>45200</v>
      </c>
      <c r="AE97" s="28">
        <v>45231</v>
      </c>
      <c r="AF97" s="28">
        <v>45261</v>
      </c>
      <c r="AG97" s="28">
        <v>45292</v>
      </c>
      <c r="AH97" s="28">
        <v>45323</v>
      </c>
      <c r="AI97" s="28">
        <v>45352</v>
      </c>
      <c r="AJ97" s="28">
        <v>45383</v>
      </c>
      <c r="AK97" s="28">
        <v>45413</v>
      </c>
      <c r="AL97" s="28">
        <v>45444</v>
      </c>
      <c r="AM97" s="1" t="s">
        <v>149</v>
      </c>
    </row>
    <row r="98" spans="1:40" hidden="1" x14ac:dyDescent="0.35">
      <c r="A98" t="s">
        <v>204</v>
      </c>
      <c r="C98" s="75">
        <v>0</v>
      </c>
      <c r="D98" s="75">
        <v>26000</v>
      </c>
      <c r="E98" s="75">
        <v>512000</v>
      </c>
      <c r="F98" s="75">
        <v>3000</v>
      </c>
      <c r="G98" s="75">
        <v>3000</v>
      </c>
      <c r="H98" s="75">
        <v>3000</v>
      </c>
      <c r="I98" s="75">
        <v>3000</v>
      </c>
      <c r="J98" s="75">
        <v>3000</v>
      </c>
      <c r="K98" s="75">
        <v>-81086.89</v>
      </c>
      <c r="L98" s="75">
        <v>2142.11</v>
      </c>
      <c r="M98" s="75">
        <v>-41485.49</v>
      </c>
      <c r="N98" s="75">
        <v>-40161.97</v>
      </c>
      <c r="O98" s="75">
        <v>-44456.76</v>
      </c>
      <c r="P98" s="75">
        <v>-101099.04</v>
      </c>
      <c r="Q98" s="75">
        <v>-74985.33</v>
      </c>
      <c r="R98" s="75">
        <v>182292.83</v>
      </c>
      <c r="S98" s="75">
        <v>-81946.25</v>
      </c>
      <c r="T98" s="75">
        <v>-60270.85</v>
      </c>
      <c r="U98" s="321">
        <v>50073</v>
      </c>
      <c r="V98" s="321">
        <v>104573.58</v>
      </c>
      <c r="W98" s="321">
        <v>79292.12</v>
      </c>
      <c r="X98" s="321">
        <v>111151.06</v>
      </c>
      <c r="Y98" s="321">
        <v>85492.61</v>
      </c>
      <c r="Z98" s="321">
        <v>399684.5</v>
      </c>
      <c r="AA98" s="321">
        <v>254434.62</v>
      </c>
      <c r="AB98" s="321">
        <v>196314.46</v>
      </c>
      <c r="AC98" s="321">
        <v>511942.37</v>
      </c>
      <c r="AD98" s="321">
        <v>353272.06</v>
      </c>
      <c r="AE98" s="321">
        <v>355379.5</v>
      </c>
      <c r="AF98" s="321">
        <v>278540.53999999998</v>
      </c>
      <c r="AG98" s="74">
        <f t="shared" ref="AG98:AL98" si="44">ROUND(AG95,0)</f>
        <v>309369</v>
      </c>
      <c r="AH98" s="74">
        <f t="shared" si="44"/>
        <v>309369</v>
      </c>
      <c r="AI98" s="74">
        <f t="shared" si="44"/>
        <v>309369</v>
      </c>
      <c r="AJ98" s="74">
        <f t="shared" si="44"/>
        <v>309369</v>
      </c>
      <c r="AK98" s="74">
        <f t="shared" si="44"/>
        <v>309369</v>
      </c>
      <c r="AL98" s="74">
        <f t="shared" si="44"/>
        <v>309369</v>
      </c>
      <c r="AM98" s="12">
        <f>SUM(C98:AL98)</f>
        <v>4848306.7799999993</v>
      </c>
      <c r="AN98" s="1" t="s">
        <v>204</v>
      </c>
    </row>
    <row r="99" spans="1:40" hidden="1" x14ac:dyDescent="0.35">
      <c r="AM99" s="12">
        <f>SUM(C99:AL99)</f>
        <v>0</v>
      </c>
      <c r="AN99" s="1"/>
    </row>
    <row r="100" spans="1:40" hidden="1" x14ac:dyDescent="0.35">
      <c r="A100" s="5">
        <v>44378</v>
      </c>
      <c r="B100" s="5"/>
      <c r="C100" s="12">
        <f t="shared" ref="C100:C111" si="45">C$98/12</f>
        <v>0</v>
      </c>
      <c r="AM100" s="12">
        <f t="shared" ref="AM100:AM135" si="46">SUM(C100:AL100)</f>
        <v>0</v>
      </c>
      <c r="AN100" s="28">
        <v>44378</v>
      </c>
    </row>
    <row r="101" spans="1:40" hidden="1" x14ac:dyDescent="0.35">
      <c r="A101" s="5">
        <v>44409</v>
      </c>
      <c r="B101" s="5"/>
      <c r="C101" s="12">
        <f t="shared" si="45"/>
        <v>0</v>
      </c>
      <c r="D101" s="12">
        <f t="shared" ref="D101:D112" si="47">D$98/12</f>
        <v>2166.6666666666665</v>
      </c>
      <c r="AM101" s="12">
        <f t="shared" si="46"/>
        <v>2166.6666666666665</v>
      </c>
      <c r="AN101" s="28">
        <v>44409</v>
      </c>
    </row>
    <row r="102" spans="1:40" hidden="1" x14ac:dyDescent="0.35">
      <c r="A102" s="5">
        <v>44440</v>
      </c>
      <c r="B102" s="5"/>
      <c r="C102" s="12">
        <f t="shared" si="45"/>
        <v>0</v>
      </c>
      <c r="D102" s="12">
        <f t="shared" si="47"/>
        <v>2166.6666666666665</v>
      </c>
      <c r="E102" s="12">
        <f t="shared" ref="E102:E113" si="48">E$98/12</f>
        <v>42666.666666666664</v>
      </c>
      <c r="AM102" s="12">
        <f t="shared" si="46"/>
        <v>44833.333333333328</v>
      </c>
      <c r="AN102" s="28">
        <v>44440</v>
      </c>
    </row>
    <row r="103" spans="1:40" hidden="1" x14ac:dyDescent="0.35">
      <c r="A103" s="5">
        <v>44470</v>
      </c>
      <c r="B103" s="5"/>
      <c r="C103" s="12">
        <f t="shared" si="45"/>
        <v>0</v>
      </c>
      <c r="D103" s="12">
        <f t="shared" si="47"/>
        <v>2166.6666666666665</v>
      </c>
      <c r="E103" s="12">
        <f t="shared" si="48"/>
        <v>42666.666666666664</v>
      </c>
      <c r="F103" s="12">
        <f t="shared" ref="F103:F114" si="49">F$98/12</f>
        <v>250</v>
      </c>
      <c r="AM103" s="12">
        <f t="shared" si="46"/>
        <v>45083.333333333328</v>
      </c>
      <c r="AN103" s="28">
        <v>44470</v>
      </c>
    </row>
    <row r="104" spans="1:40" hidden="1" x14ac:dyDescent="0.35">
      <c r="A104" s="5">
        <v>44501</v>
      </c>
      <c r="B104" s="5"/>
      <c r="C104" s="12">
        <f t="shared" si="45"/>
        <v>0</v>
      </c>
      <c r="D104" s="12">
        <f t="shared" si="47"/>
        <v>2166.6666666666665</v>
      </c>
      <c r="E104" s="12">
        <f t="shared" si="48"/>
        <v>42666.666666666664</v>
      </c>
      <c r="F104" s="12">
        <f t="shared" si="49"/>
        <v>250</v>
      </c>
      <c r="G104" s="12">
        <f t="shared" ref="G104:G115" si="50">G$98/12</f>
        <v>250</v>
      </c>
      <c r="AM104" s="12">
        <f t="shared" si="46"/>
        <v>45333.333333333328</v>
      </c>
      <c r="AN104" s="28">
        <v>44501</v>
      </c>
    </row>
    <row r="105" spans="1:40" hidden="1" x14ac:dyDescent="0.35">
      <c r="A105" s="5">
        <v>44531</v>
      </c>
      <c r="B105" s="5"/>
      <c r="C105" s="12">
        <f t="shared" si="45"/>
        <v>0</v>
      </c>
      <c r="D105" s="12">
        <f t="shared" si="47"/>
        <v>2166.6666666666665</v>
      </c>
      <c r="E105" s="12">
        <f t="shared" si="48"/>
        <v>42666.666666666664</v>
      </c>
      <c r="F105" s="12">
        <f t="shared" si="49"/>
        <v>250</v>
      </c>
      <c r="G105" s="12">
        <f t="shared" si="50"/>
        <v>250</v>
      </c>
      <c r="H105" s="12">
        <f t="shared" ref="H105:H116" si="51">H$98/12</f>
        <v>250</v>
      </c>
      <c r="AM105" s="12">
        <f t="shared" si="46"/>
        <v>45583.333333333328</v>
      </c>
      <c r="AN105" s="28">
        <v>44531</v>
      </c>
    </row>
    <row r="106" spans="1:40" hidden="1" x14ac:dyDescent="0.35">
      <c r="A106" s="5">
        <v>44562</v>
      </c>
      <c r="B106" s="5"/>
      <c r="C106" s="12">
        <f t="shared" si="45"/>
        <v>0</v>
      </c>
      <c r="D106" s="12">
        <f t="shared" si="47"/>
        <v>2166.6666666666665</v>
      </c>
      <c r="E106" s="12">
        <f t="shared" si="48"/>
        <v>42666.666666666664</v>
      </c>
      <c r="F106" s="12">
        <f t="shared" si="49"/>
        <v>250</v>
      </c>
      <c r="G106" s="12">
        <f t="shared" si="50"/>
        <v>250</v>
      </c>
      <c r="H106" s="12">
        <f t="shared" si="51"/>
        <v>250</v>
      </c>
      <c r="I106" s="12">
        <f t="shared" ref="I106:I117" si="52">I$98/12</f>
        <v>250</v>
      </c>
      <c r="AM106" s="12">
        <f t="shared" si="46"/>
        <v>45833.333333333328</v>
      </c>
      <c r="AN106" s="28">
        <v>44562</v>
      </c>
    </row>
    <row r="107" spans="1:40" hidden="1" x14ac:dyDescent="0.35">
      <c r="A107" s="5">
        <v>44593</v>
      </c>
      <c r="B107" s="5"/>
      <c r="C107" s="12">
        <f t="shared" si="45"/>
        <v>0</v>
      </c>
      <c r="D107" s="12">
        <f t="shared" si="47"/>
        <v>2166.6666666666665</v>
      </c>
      <c r="E107" s="12">
        <f t="shared" si="48"/>
        <v>42666.666666666664</v>
      </c>
      <c r="F107" s="12">
        <f t="shared" si="49"/>
        <v>250</v>
      </c>
      <c r="G107" s="12">
        <f t="shared" si="50"/>
        <v>250</v>
      </c>
      <c r="H107" s="12">
        <f t="shared" si="51"/>
        <v>250</v>
      </c>
      <c r="I107" s="12">
        <f t="shared" si="52"/>
        <v>250</v>
      </c>
      <c r="J107" s="12">
        <f t="shared" ref="J107:J118" si="53">J$98/12</f>
        <v>250</v>
      </c>
      <c r="AM107" s="12">
        <f t="shared" si="46"/>
        <v>46083.333333333328</v>
      </c>
      <c r="AN107" s="28">
        <v>44593</v>
      </c>
    </row>
    <row r="108" spans="1:40" hidden="1" x14ac:dyDescent="0.35">
      <c r="A108" s="5">
        <v>44621</v>
      </c>
      <c r="B108" s="5"/>
      <c r="C108" s="12">
        <f t="shared" si="45"/>
        <v>0</v>
      </c>
      <c r="D108" s="12">
        <f t="shared" si="47"/>
        <v>2166.6666666666665</v>
      </c>
      <c r="E108" s="12">
        <f t="shared" si="48"/>
        <v>42666.666666666664</v>
      </c>
      <c r="F108" s="12">
        <f t="shared" si="49"/>
        <v>250</v>
      </c>
      <c r="G108" s="12">
        <f t="shared" si="50"/>
        <v>250</v>
      </c>
      <c r="H108" s="12">
        <f t="shared" si="51"/>
        <v>250</v>
      </c>
      <c r="I108" s="12">
        <f t="shared" si="52"/>
        <v>250</v>
      </c>
      <c r="J108" s="12">
        <f t="shared" si="53"/>
        <v>250</v>
      </c>
      <c r="K108" s="12">
        <f t="shared" ref="K108:K119" si="54">K$98/12</f>
        <v>-6757.2408333333333</v>
      </c>
      <c r="AM108" s="12">
        <f t="shared" si="46"/>
        <v>39326.092499999999</v>
      </c>
      <c r="AN108" s="28">
        <v>44621</v>
      </c>
    </row>
    <row r="109" spans="1:40" hidden="1" x14ac:dyDescent="0.35">
      <c r="A109" s="5">
        <v>44652</v>
      </c>
      <c r="B109" s="5"/>
      <c r="C109" s="12">
        <f t="shared" si="45"/>
        <v>0</v>
      </c>
      <c r="D109" s="12">
        <f t="shared" si="47"/>
        <v>2166.6666666666665</v>
      </c>
      <c r="E109" s="12">
        <f t="shared" si="48"/>
        <v>42666.666666666664</v>
      </c>
      <c r="F109" s="12">
        <f t="shared" si="49"/>
        <v>250</v>
      </c>
      <c r="G109" s="12">
        <f t="shared" si="50"/>
        <v>250</v>
      </c>
      <c r="H109" s="12">
        <f t="shared" si="51"/>
        <v>250</v>
      </c>
      <c r="I109" s="12">
        <f t="shared" si="52"/>
        <v>250</v>
      </c>
      <c r="J109" s="12">
        <f t="shared" si="53"/>
        <v>250</v>
      </c>
      <c r="K109" s="12">
        <f t="shared" si="54"/>
        <v>-6757.2408333333333</v>
      </c>
      <c r="L109" s="12">
        <f t="shared" ref="L109:L120" si="55">L$98/12</f>
        <v>178.50916666666669</v>
      </c>
      <c r="AM109" s="12">
        <f t="shared" si="46"/>
        <v>39504.601666666662</v>
      </c>
      <c r="AN109" s="28">
        <v>44652</v>
      </c>
    </row>
    <row r="110" spans="1:40" hidden="1" x14ac:dyDescent="0.35">
      <c r="A110" s="5">
        <v>44682</v>
      </c>
      <c r="B110" s="5"/>
      <c r="C110" s="12">
        <f t="shared" si="45"/>
        <v>0</v>
      </c>
      <c r="D110" s="12">
        <f t="shared" si="47"/>
        <v>2166.6666666666665</v>
      </c>
      <c r="E110" s="12">
        <f t="shared" si="48"/>
        <v>42666.666666666664</v>
      </c>
      <c r="F110" s="12">
        <f t="shared" si="49"/>
        <v>250</v>
      </c>
      <c r="G110" s="12">
        <f t="shared" si="50"/>
        <v>250</v>
      </c>
      <c r="H110" s="12">
        <f t="shared" si="51"/>
        <v>250</v>
      </c>
      <c r="I110" s="12">
        <f t="shared" si="52"/>
        <v>250</v>
      </c>
      <c r="J110" s="12">
        <f t="shared" si="53"/>
        <v>250</v>
      </c>
      <c r="K110" s="12">
        <f t="shared" si="54"/>
        <v>-6757.2408333333333</v>
      </c>
      <c r="L110" s="12">
        <f t="shared" si="55"/>
        <v>178.50916666666669</v>
      </c>
      <c r="M110" s="12">
        <f t="shared" ref="M110:M121" si="56">M$98/12</f>
        <v>-3457.1241666666665</v>
      </c>
      <c r="AM110" s="12">
        <f t="shared" si="46"/>
        <v>36047.477499999994</v>
      </c>
      <c r="AN110" s="28">
        <v>44682</v>
      </c>
    </row>
    <row r="111" spans="1:40" hidden="1" x14ac:dyDescent="0.35">
      <c r="A111" s="5">
        <v>44713</v>
      </c>
      <c r="B111" s="5"/>
      <c r="C111" s="12">
        <f t="shared" si="45"/>
        <v>0</v>
      </c>
      <c r="D111" s="12">
        <f t="shared" si="47"/>
        <v>2166.6666666666665</v>
      </c>
      <c r="E111" s="12">
        <f t="shared" si="48"/>
        <v>42666.666666666664</v>
      </c>
      <c r="F111" s="12">
        <f t="shared" si="49"/>
        <v>250</v>
      </c>
      <c r="G111" s="12">
        <f t="shared" si="50"/>
        <v>250</v>
      </c>
      <c r="H111" s="12">
        <f t="shared" si="51"/>
        <v>250</v>
      </c>
      <c r="I111" s="12">
        <f t="shared" si="52"/>
        <v>250</v>
      </c>
      <c r="J111" s="12">
        <f t="shared" si="53"/>
        <v>250</v>
      </c>
      <c r="K111" s="12">
        <f t="shared" si="54"/>
        <v>-6757.2408333333333</v>
      </c>
      <c r="L111" s="12">
        <f t="shared" si="55"/>
        <v>178.50916666666669</v>
      </c>
      <c r="M111" s="12">
        <f t="shared" si="56"/>
        <v>-3457.1241666666665</v>
      </c>
      <c r="N111" s="12">
        <f>N$98/12</f>
        <v>-3346.8308333333334</v>
      </c>
      <c r="AM111" s="12">
        <f t="shared" si="46"/>
        <v>32700.64666666666</v>
      </c>
      <c r="AN111" s="28">
        <v>44713</v>
      </c>
    </row>
    <row r="112" spans="1:40" hidden="1" x14ac:dyDescent="0.35">
      <c r="A112" s="5">
        <v>44743</v>
      </c>
      <c r="B112" s="5"/>
      <c r="D112" s="12">
        <f t="shared" si="47"/>
        <v>2166.6666666666665</v>
      </c>
      <c r="E112" s="12">
        <f t="shared" si="48"/>
        <v>42666.666666666664</v>
      </c>
      <c r="F112" s="12">
        <f t="shared" si="49"/>
        <v>250</v>
      </c>
      <c r="G112" s="12">
        <f t="shared" si="50"/>
        <v>250</v>
      </c>
      <c r="H112" s="12">
        <f t="shared" si="51"/>
        <v>250</v>
      </c>
      <c r="I112" s="12">
        <f t="shared" si="52"/>
        <v>250</v>
      </c>
      <c r="J112" s="12">
        <f t="shared" si="53"/>
        <v>250</v>
      </c>
      <c r="K112" s="12">
        <f t="shared" si="54"/>
        <v>-6757.2408333333333</v>
      </c>
      <c r="L112" s="12">
        <f t="shared" si="55"/>
        <v>178.50916666666669</v>
      </c>
      <c r="M112" s="12">
        <f t="shared" si="56"/>
        <v>-3457.1241666666665</v>
      </c>
      <c r="N112" s="12">
        <f t="shared" ref="N112:N122" si="57">N$98/12</f>
        <v>-3346.8308333333334</v>
      </c>
      <c r="O112" s="12">
        <f t="shared" ref="O112:O123" si="58">O$98/12</f>
        <v>-3704.73</v>
      </c>
      <c r="AM112" s="12">
        <f t="shared" si="46"/>
        <v>28995.916666666661</v>
      </c>
      <c r="AN112" s="28">
        <v>44743</v>
      </c>
    </row>
    <row r="113" spans="1:40" hidden="1" x14ac:dyDescent="0.35">
      <c r="A113" s="5">
        <v>44774</v>
      </c>
      <c r="B113" s="5"/>
      <c r="E113" s="12">
        <f t="shared" si="48"/>
        <v>42666.666666666664</v>
      </c>
      <c r="F113" s="12">
        <f t="shared" si="49"/>
        <v>250</v>
      </c>
      <c r="G113" s="12">
        <f t="shared" si="50"/>
        <v>250</v>
      </c>
      <c r="H113" s="12">
        <f t="shared" si="51"/>
        <v>250</v>
      </c>
      <c r="I113" s="12">
        <f t="shared" si="52"/>
        <v>250</v>
      </c>
      <c r="J113" s="12">
        <f t="shared" si="53"/>
        <v>250</v>
      </c>
      <c r="K113" s="12">
        <f t="shared" si="54"/>
        <v>-6757.2408333333333</v>
      </c>
      <c r="L113" s="12">
        <f t="shared" si="55"/>
        <v>178.50916666666669</v>
      </c>
      <c r="M113" s="12">
        <f t="shared" si="56"/>
        <v>-3457.1241666666665</v>
      </c>
      <c r="N113" s="12">
        <f t="shared" si="57"/>
        <v>-3346.8308333333334</v>
      </c>
      <c r="O113" s="12">
        <f t="shared" si="58"/>
        <v>-3704.73</v>
      </c>
      <c r="P113" s="12">
        <f t="shared" ref="P113:P124" si="59">P$98/12</f>
        <v>-8424.92</v>
      </c>
      <c r="AM113" s="12">
        <f t="shared" si="46"/>
        <v>18404.329999999987</v>
      </c>
      <c r="AN113" s="28">
        <v>44774</v>
      </c>
    </row>
    <row r="114" spans="1:40" hidden="1" x14ac:dyDescent="0.35">
      <c r="A114" s="5">
        <v>44805</v>
      </c>
      <c r="B114" s="5"/>
      <c r="F114" s="12">
        <f t="shared" si="49"/>
        <v>250</v>
      </c>
      <c r="G114" s="12">
        <f t="shared" si="50"/>
        <v>250</v>
      </c>
      <c r="H114" s="12">
        <f t="shared" si="51"/>
        <v>250</v>
      </c>
      <c r="I114" s="12">
        <f t="shared" si="52"/>
        <v>250</v>
      </c>
      <c r="J114" s="12">
        <f t="shared" si="53"/>
        <v>250</v>
      </c>
      <c r="K114" s="12">
        <f t="shared" si="54"/>
        <v>-6757.2408333333333</v>
      </c>
      <c r="L114" s="12">
        <f t="shared" si="55"/>
        <v>178.50916666666669</v>
      </c>
      <c r="M114" s="12">
        <f t="shared" si="56"/>
        <v>-3457.1241666666665</v>
      </c>
      <c r="N114" s="12">
        <f t="shared" si="57"/>
        <v>-3346.8308333333334</v>
      </c>
      <c r="O114" s="12">
        <f t="shared" si="58"/>
        <v>-3704.73</v>
      </c>
      <c r="P114" s="12">
        <f t="shared" si="59"/>
        <v>-8424.92</v>
      </c>
      <c r="Q114" s="12">
        <f t="shared" ref="Q114:Q125" si="60">Q$98/12</f>
        <v>-6248.7775000000001</v>
      </c>
      <c r="AM114" s="12">
        <f t="shared" si="46"/>
        <v>-30511.114166666666</v>
      </c>
      <c r="AN114" s="28">
        <v>44805</v>
      </c>
    </row>
    <row r="115" spans="1:40" hidden="1" x14ac:dyDescent="0.35">
      <c r="A115" s="5">
        <v>44835</v>
      </c>
      <c r="B115" s="5"/>
      <c r="G115" s="12">
        <f t="shared" si="50"/>
        <v>250</v>
      </c>
      <c r="H115" s="12">
        <f t="shared" si="51"/>
        <v>250</v>
      </c>
      <c r="I115" s="12">
        <f t="shared" si="52"/>
        <v>250</v>
      </c>
      <c r="J115" s="12">
        <f t="shared" si="53"/>
        <v>250</v>
      </c>
      <c r="K115" s="12">
        <f t="shared" si="54"/>
        <v>-6757.2408333333333</v>
      </c>
      <c r="L115" s="12">
        <f t="shared" si="55"/>
        <v>178.50916666666669</v>
      </c>
      <c r="M115" s="12">
        <f t="shared" si="56"/>
        <v>-3457.1241666666665</v>
      </c>
      <c r="N115" s="12">
        <f t="shared" si="57"/>
        <v>-3346.8308333333334</v>
      </c>
      <c r="O115" s="12">
        <f t="shared" si="58"/>
        <v>-3704.73</v>
      </c>
      <c r="P115" s="12">
        <f t="shared" si="59"/>
        <v>-8424.92</v>
      </c>
      <c r="Q115" s="12">
        <f t="shared" si="60"/>
        <v>-6248.7775000000001</v>
      </c>
      <c r="R115" s="12">
        <f>R$98/12</f>
        <v>15191.069166666666</v>
      </c>
      <c r="S115" s="12"/>
      <c r="AM115" s="12">
        <f t="shared" si="46"/>
        <v>-15570.045</v>
      </c>
      <c r="AN115" s="28">
        <v>44835</v>
      </c>
    </row>
    <row r="116" spans="1:40" hidden="1" x14ac:dyDescent="0.35">
      <c r="A116" s="5">
        <v>44866</v>
      </c>
      <c r="B116" s="5"/>
      <c r="H116" s="12">
        <f t="shared" si="51"/>
        <v>250</v>
      </c>
      <c r="I116" s="12">
        <f t="shared" si="52"/>
        <v>250</v>
      </c>
      <c r="J116" s="12">
        <f t="shared" si="53"/>
        <v>250</v>
      </c>
      <c r="K116" s="12">
        <f t="shared" si="54"/>
        <v>-6757.2408333333333</v>
      </c>
      <c r="L116" s="12">
        <f t="shared" si="55"/>
        <v>178.50916666666669</v>
      </c>
      <c r="M116" s="12">
        <f t="shared" si="56"/>
        <v>-3457.1241666666665</v>
      </c>
      <c r="N116" s="12">
        <f t="shared" si="57"/>
        <v>-3346.8308333333334</v>
      </c>
      <c r="O116" s="12">
        <f t="shared" si="58"/>
        <v>-3704.73</v>
      </c>
      <c r="P116" s="12">
        <f t="shared" si="59"/>
        <v>-8424.92</v>
      </c>
      <c r="Q116" s="12">
        <f t="shared" si="60"/>
        <v>-6248.7775000000001</v>
      </c>
      <c r="R116" s="12">
        <f t="shared" ref="R116:S127" si="61">R$98/12</f>
        <v>15191.069166666666</v>
      </c>
      <c r="S116" s="12">
        <f>S$98/12</f>
        <v>-6828.854166666667</v>
      </c>
      <c r="AM116" s="12">
        <f t="shared" si="46"/>
        <v>-22648.899166666666</v>
      </c>
      <c r="AN116" s="28">
        <v>44866</v>
      </c>
    </row>
    <row r="117" spans="1:40" hidden="1" x14ac:dyDescent="0.35">
      <c r="A117" s="5">
        <v>44896</v>
      </c>
      <c r="B117" s="5"/>
      <c r="I117" s="12">
        <f t="shared" si="52"/>
        <v>250</v>
      </c>
      <c r="J117" s="12">
        <f t="shared" si="53"/>
        <v>250</v>
      </c>
      <c r="K117" s="12">
        <f t="shared" si="54"/>
        <v>-6757.2408333333333</v>
      </c>
      <c r="L117" s="12">
        <f t="shared" si="55"/>
        <v>178.50916666666669</v>
      </c>
      <c r="M117" s="12">
        <f t="shared" si="56"/>
        <v>-3457.1241666666665</v>
      </c>
      <c r="N117" s="12">
        <f t="shared" si="57"/>
        <v>-3346.8308333333334</v>
      </c>
      <c r="O117" s="12">
        <f t="shared" si="58"/>
        <v>-3704.73</v>
      </c>
      <c r="P117" s="12">
        <f t="shared" si="59"/>
        <v>-8424.92</v>
      </c>
      <c r="Q117" s="12">
        <f t="shared" si="60"/>
        <v>-6248.7775000000001</v>
      </c>
      <c r="R117" s="12">
        <f t="shared" si="61"/>
        <v>15191.069166666666</v>
      </c>
      <c r="S117" s="12">
        <f t="shared" si="61"/>
        <v>-6828.854166666667</v>
      </c>
      <c r="T117" s="12">
        <f>T$98/12</f>
        <v>-5022.5708333333332</v>
      </c>
      <c r="AM117" s="12">
        <f t="shared" si="46"/>
        <v>-27921.47</v>
      </c>
      <c r="AN117" s="28">
        <v>44896</v>
      </c>
    </row>
    <row r="118" spans="1:40" hidden="1" x14ac:dyDescent="0.35">
      <c r="A118" s="5">
        <v>44927</v>
      </c>
      <c r="B118" s="5"/>
      <c r="J118" s="12">
        <f t="shared" si="53"/>
        <v>250</v>
      </c>
      <c r="K118" s="12">
        <f t="shared" si="54"/>
        <v>-6757.2408333333333</v>
      </c>
      <c r="L118" s="12">
        <f t="shared" si="55"/>
        <v>178.50916666666669</v>
      </c>
      <c r="M118" s="12">
        <f t="shared" si="56"/>
        <v>-3457.1241666666665</v>
      </c>
      <c r="N118" s="12">
        <f t="shared" si="57"/>
        <v>-3346.8308333333334</v>
      </c>
      <c r="O118" s="12">
        <f t="shared" si="58"/>
        <v>-3704.73</v>
      </c>
      <c r="P118" s="12">
        <f t="shared" si="59"/>
        <v>-8424.92</v>
      </c>
      <c r="Q118" s="12">
        <f t="shared" si="60"/>
        <v>-6248.7775000000001</v>
      </c>
      <c r="R118" s="12">
        <f t="shared" si="61"/>
        <v>15191.069166666666</v>
      </c>
      <c r="S118" s="12">
        <f t="shared" si="61"/>
        <v>-6828.854166666667</v>
      </c>
      <c r="T118" s="12">
        <f>T$98/12</f>
        <v>-5022.5708333333332</v>
      </c>
      <c r="U118" s="12">
        <f>U$98/12</f>
        <v>4172.75</v>
      </c>
      <c r="AM118" s="12">
        <f t="shared" si="46"/>
        <v>-23998.720000000001</v>
      </c>
      <c r="AN118" s="28">
        <v>44927</v>
      </c>
    </row>
    <row r="119" spans="1:40" hidden="1" x14ac:dyDescent="0.35">
      <c r="A119" s="5">
        <v>44958</v>
      </c>
      <c r="B119" s="5"/>
      <c r="K119" s="12">
        <f t="shared" si="54"/>
        <v>-6757.2408333333333</v>
      </c>
      <c r="L119" s="12">
        <f t="shared" si="55"/>
        <v>178.50916666666669</v>
      </c>
      <c r="M119" s="12">
        <f t="shared" si="56"/>
        <v>-3457.1241666666665</v>
      </c>
      <c r="N119" s="12">
        <f t="shared" si="57"/>
        <v>-3346.8308333333334</v>
      </c>
      <c r="O119" s="12">
        <f t="shared" si="58"/>
        <v>-3704.73</v>
      </c>
      <c r="P119" s="12">
        <f t="shared" si="59"/>
        <v>-8424.92</v>
      </c>
      <c r="Q119" s="12">
        <f t="shared" si="60"/>
        <v>-6248.7775000000001</v>
      </c>
      <c r="R119" s="12">
        <f t="shared" si="61"/>
        <v>15191.069166666666</v>
      </c>
      <c r="S119" s="12">
        <f t="shared" si="61"/>
        <v>-6828.854166666667</v>
      </c>
      <c r="T119" s="12">
        <f t="shared" ref="T119:X132" si="62">T$98/12</f>
        <v>-5022.5708333333332</v>
      </c>
      <c r="U119" s="12">
        <f>U$98/12</f>
        <v>4172.75</v>
      </c>
      <c r="V119" s="12">
        <f>V$98/12</f>
        <v>8714.4650000000001</v>
      </c>
      <c r="AM119" s="12">
        <f t="shared" si="46"/>
        <v>-15534.255000000008</v>
      </c>
      <c r="AN119" s="28">
        <v>44958</v>
      </c>
    </row>
    <row r="120" spans="1:40" hidden="1" x14ac:dyDescent="0.35">
      <c r="A120" s="5">
        <v>44986</v>
      </c>
      <c r="B120" s="5"/>
      <c r="L120" s="12">
        <f t="shared" si="55"/>
        <v>178.50916666666669</v>
      </c>
      <c r="M120" s="12">
        <f t="shared" si="56"/>
        <v>-3457.1241666666665</v>
      </c>
      <c r="N120" s="12">
        <f t="shared" si="57"/>
        <v>-3346.8308333333334</v>
      </c>
      <c r="O120" s="12">
        <f t="shared" si="58"/>
        <v>-3704.73</v>
      </c>
      <c r="P120" s="12">
        <f t="shared" si="59"/>
        <v>-8424.92</v>
      </c>
      <c r="Q120" s="12">
        <f t="shared" si="60"/>
        <v>-6248.7775000000001</v>
      </c>
      <c r="R120" s="12">
        <f t="shared" si="61"/>
        <v>15191.069166666666</v>
      </c>
      <c r="S120" s="12">
        <f t="shared" si="61"/>
        <v>-6828.854166666667</v>
      </c>
      <c r="T120" s="12">
        <f t="shared" si="62"/>
        <v>-5022.5708333333332</v>
      </c>
      <c r="U120" s="12">
        <f t="shared" si="62"/>
        <v>4172.75</v>
      </c>
      <c r="V120" s="12">
        <f>V$98/12</f>
        <v>8714.4650000000001</v>
      </c>
      <c r="W120" s="12">
        <f>W$98/12</f>
        <v>6607.6766666666663</v>
      </c>
      <c r="AM120" s="12">
        <f t="shared" si="46"/>
        <v>-2169.3374999999978</v>
      </c>
      <c r="AN120" s="28">
        <v>44986</v>
      </c>
    </row>
    <row r="121" spans="1:40" hidden="1" x14ac:dyDescent="0.35">
      <c r="A121" s="5">
        <v>45017</v>
      </c>
      <c r="B121" s="5"/>
      <c r="M121" s="12">
        <f t="shared" si="56"/>
        <v>-3457.1241666666665</v>
      </c>
      <c r="N121" s="12">
        <f t="shared" si="57"/>
        <v>-3346.8308333333334</v>
      </c>
      <c r="O121" s="12">
        <f t="shared" si="58"/>
        <v>-3704.73</v>
      </c>
      <c r="P121" s="12">
        <f t="shared" si="59"/>
        <v>-8424.92</v>
      </c>
      <c r="Q121" s="12">
        <f t="shared" si="60"/>
        <v>-6248.7775000000001</v>
      </c>
      <c r="R121" s="12">
        <f t="shared" si="61"/>
        <v>15191.069166666666</v>
      </c>
      <c r="S121" s="12">
        <f t="shared" si="61"/>
        <v>-6828.854166666667</v>
      </c>
      <c r="T121" s="12">
        <f t="shared" si="62"/>
        <v>-5022.5708333333332</v>
      </c>
      <c r="U121" s="12">
        <f t="shared" si="62"/>
        <v>4172.75</v>
      </c>
      <c r="V121" s="12">
        <f t="shared" si="62"/>
        <v>8714.4650000000001</v>
      </c>
      <c r="W121" s="12">
        <f>W$98/12</f>
        <v>6607.6766666666663</v>
      </c>
      <c r="X121" s="12">
        <f>X$98/12</f>
        <v>9262.5883333333331</v>
      </c>
      <c r="AM121" s="12">
        <f t="shared" si="46"/>
        <v>6914.741666666665</v>
      </c>
      <c r="AN121" s="28">
        <v>45017</v>
      </c>
    </row>
    <row r="122" spans="1:40" hidden="1" x14ac:dyDescent="0.35">
      <c r="A122" s="5">
        <v>45047</v>
      </c>
      <c r="B122" s="5"/>
      <c r="N122" s="12">
        <f t="shared" si="57"/>
        <v>-3346.8308333333334</v>
      </c>
      <c r="O122" s="12">
        <f t="shared" si="58"/>
        <v>-3704.73</v>
      </c>
      <c r="P122" s="12">
        <f t="shared" si="59"/>
        <v>-8424.92</v>
      </c>
      <c r="Q122" s="12">
        <f t="shared" si="60"/>
        <v>-6248.7775000000001</v>
      </c>
      <c r="R122" s="12">
        <f t="shared" si="61"/>
        <v>15191.069166666666</v>
      </c>
      <c r="S122" s="12">
        <f t="shared" si="61"/>
        <v>-6828.854166666667</v>
      </c>
      <c r="T122" s="12">
        <f t="shared" si="62"/>
        <v>-5022.5708333333332</v>
      </c>
      <c r="U122" s="12">
        <f t="shared" si="62"/>
        <v>4172.75</v>
      </c>
      <c r="V122" s="12">
        <f t="shared" si="62"/>
        <v>8714.4650000000001</v>
      </c>
      <c r="W122" s="12">
        <f t="shared" si="62"/>
        <v>6607.6766666666663</v>
      </c>
      <c r="X122" s="12">
        <f>X$98/12</f>
        <v>9262.5883333333331</v>
      </c>
      <c r="Y122" s="12">
        <f t="shared" ref="Y122:Y133" si="63">Y$98/12</f>
        <v>7124.3841666666667</v>
      </c>
      <c r="AM122" s="12">
        <f t="shared" si="46"/>
        <v>17496.25</v>
      </c>
      <c r="AN122" s="28">
        <v>45047</v>
      </c>
    </row>
    <row r="123" spans="1:40" hidden="1" x14ac:dyDescent="0.35">
      <c r="A123" s="5">
        <v>45078</v>
      </c>
      <c r="B123" s="5"/>
      <c r="O123" s="12">
        <f t="shared" si="58"/>
        <v>-3704.73</v>
      </c>
      <c r="P123" s="12">
        <f t="shared" si="59"/>
        <v>-8424.92</v>
      </c>
      <c r="Q123" s="12">
        <f t="shared" si="60"/>
        <v>-6248.7775000000001</v>
      </c>
      <c r="R123" s="12">
        <f t="shared" si="61"/>
        <v>15191.069166666666</v>
      </c>
      <c r="S123" s="12">
        <f t="shared" si="61"/>
        <v>-6828.854166666667</v>
      </c>
      <c r="T123" s="12">
        <f t="shared" si="62"/>
        <v>-5022.5708333333332</v>
      </c>
      <c r="U123" s="12">
        <f t="shared" si="62"/>
        <v>4172.75</v>
      </c>
      <c r="V123" s="12">
        <f t="shared" si="62"/>
        <v>8714.4650000000001</v>
      </c>
      <c r="W123" s="12">
        <f t="shared" si="62"/>
        <v>6607.6766666666663</v>
      </c>
      <c r="X123" s="12">
        <f t="shared" si="62"/>
        <v>9262.5883333333331</v>
      </c>
      <c r="Y123" s="12">
        <f t="shared" si="63"/>
        <v>7124.3841666666667</v>
      </c>
      <c r="Z123" s="12">
        <f t="shared" ref="Z123:Z134" si="64">Z$98/12</f>
        <v>33307.041666666664</v>
      </c>
      <c r="AM123" s="12">
        <f t="shared" si="46"/>
        <v>54150.122499999998</v>
      </c>
      <c r="AN123" s="28">
        <v>45078</v>
      </c>
    </row>
    <row r="124" spans="1:40" hidden="1" x14ac:dyDescent="0.35">
      <c r="A124" s="5">
        <v>45108</v>
      </c>
      <c r="B124" s="5"/>
      <c r="O124" s="12"/>
      <c r="P124" s="12">
        <f t="shared" si="59"/>
        <v>-8424.92</v>
      </c>
      <c r="Q124" s="12">
        <f t="shared" si="60"/>
        <v>-6248.7775000000001</v>
      </c>
      <c r="R124" s="12">
        <f t="shared" si="61"/>
        <v>15191.069166666666</v>
      </c>
      <c r="S124" s="12">
        <f t="shared" si="61"/>
        <v>-6828.854166666667</v>
      </c>
      <c r="T124" s="12">
        <f t="shared" si="62"/>
        <v>-5022.5708333333332</v>
      </c>
      <c r="U124" s="12">
        <f t="shared" si="62"/>
        <v>4172.75</v>
      </c>
      <c r="V124" s="12">
        <f t="shared" si="62"/>
        <v>8714.4650000000001</v>
      </c>
      <c r="W124" s="12">
        <f t="shared" si="62"/>
        <v>6607.6766666666663</v>
      </c>
      <c r="X124" s="12">
        <f t="shared" si="62"/>
        <v>9262.5883333333331</v>
      </c>
      <c r="Y124" s="12">
        <f t="shared" si="63"/>
        <v>7124.3841666666667</v>
      </c>
      <c r="Z124" s="12">
        <f t="shared" si="64"/>
        <v>33307.041666666664</v>
      </c>
      <c r="AA124" s="12">
        <f>+AA$98/12</f>
        <v>21202.884999999998</v>
      </c>
      <c r="AM124" s="12">
        <f t="shared" si="46"/>
        <v>79057.737499999988</v>
      </c>
      <c r="AN124" s="28">
        <v>45108</v>
      </c>
    </row>
    <row r="125" spans="1:40" hidden="1" x14ac:dyDescent="0.35">
      <c r="A125" s="5">
        <v>45139</v>
      </c>
      <c r="B125" s="5"/>
      <c r="O125" s="12"/>
      <c r="P125" s="12"/>
      <c r="Q125" s="12">
        <f t="shared" si="60"/>
        <v>-6248.7775000000001</v>
      </c>
      <c r="R125" s="12">
        <f t="shared" si="61"/>
        <v>15191.069166666666</v>
      </c>
      <c r="S125" s="12">
        <f t="shared" si="61"/>
        <v>-6828.854166666667</v>
      </c>
      <c r="T125" s="12">
        <f t="shared" si="62"/>
        <v>-5022.5708333333332</v>
      </c>
      <c r="U125" s="12">
        <f t="shared" si="62"/>
        <v>4172.75</v>
      </c>
      <c r="V125" s="12">
        <f t="shared" si="62"/>
        <v>8714.4650000000001</v>
      </c>
      <c r="W125" s="12">
        <f t="shared" si="62"/>
        <v>6607.6766666666663</v>
      </c>
      <c r="X125" s="12">
        <f t="shared" si="62"/>
        <v>9262.5883333333331</v>
      </c>
      <c r="Y125" s="12">
        <f t="shared" si="63"/>
        <v>7124.3841666666667</v>
      </c>
      <c r="Z125" s="12">
        <f t="shared" si="64"/>
        <v>33307.041666666664</v>
      </c>
      <c r="AA125" s="12">
        <f t="shared" ref="AA125:AL140" si="65">+AA$98/12</f>
        <v>21202.884999999998</v>
      </c>
      <c r="AB125" s="12">
        <f>+AB$98/12</f>
        <v>16359.538333333332</v>
      </c>
      <c r="AM125" s="12">
        <f t="shared" si="46"/>
        <v>103842.19583333332</v>
      </c>
      <c r="AN125" s="28">
        <v>45139</v>
      </c>
    </row>
    <row r="126" spans="1:40" hidden="1" x14ac:dyDescent="0.35">
      <c r="A126" s="5">
        <v>45170</v>
      </c>
      <c r="B126" s="5"/>
      <c r="O126" s="12"/>
      <c r="P126" s="12"/>
      <c r="Q126" s="12"/>
      <c r="R126" s="12">
        <f t="shared" si="61"/>
        <v>15191.069166666666</v>
      </c>
      <c r="S126" s="12">
        <f t="shared" si="61"/>
        <v>-6828.854166666667</v>
      </c>
      <c r="T126" s="12">
        <f t="shared" si="62"/>
        <v>-5022.5708333333332</v>
      </c>
      <c r="U126" s="12">
        <f t="shared" si="62"/>
        <v>4172.75</v>
      </c>
      <c r="V126" s="12">
        <f t="shared" si="62"/>
        <v>8714.4650000000001</v>
      </c>
      <c r="W126" s="12">
        <f t="shared" si="62"/>
        <v>6607.6766666666663</v>
      </c>
      <c r="X126" s="12">
        <f t="shared" si="62"/>
        <v>9262.5883333333331</v>
      </c>
      <c r="Y126" s="12">
        <f t="shared" si="63"/>
        <v>7124.3841666666667</v>
      </c>
      <c r="Z126" s="12">
        <f t="shared" si="64"/>
        <v>33307.041666666664</v>
      </c>
      <c r="AA126" s="12">
        <f t="shared" si="65"/>
        <v>21202.884999999998</v>
      </c>
      <c r="AB126" s="12">
        <f t="shared" si="65"/>
        <v>16359.538333333332</v>
      </c>
      <c r="AC126" s="12">
        <f>+AC$98/12</f>
        <v>42661.864166666666</v>
      </c>
      <c r="AM126" s="12">
        <f t="shared" si="46"/>
        <v>152752.83749999997</v>
      </c>
      <c r="AN126" s="28">
        <v>45170</v>
      </c>
    </row>
    <row r="127" spans="1:40" hidden="1" x14ac:dyDescent="0.35">
      <c r="A127" s="5">
        <v>45200</v>
      </c>
      <c r="B127" s="5"/>
      <c r="O127" s="12"/>
      <c r="P127" s="12"/>
      <c r="Q127" s="12"/>
      <c r="R127" s="12"/>
      <c r="S127" s="12">
        <f t="shared" si="61"/>
        <v>-6828.854166666667</v>
      </c>
      <c r="T127" s="12">
        <f t="shared" si="62"/>
        <v>-5022.5708333333332</v>
      </c>
      <c r="U127" s="12">
        <f t="shared" si="62"/>
        <v>4172.75</v>
      </c>
      <c r="V127" s="12">
        <f t="shared" si="62"/>
        <v>8714.4650000000001</v>
      </c>
      <c r="W127" s="12">
        <f t="shared" si="62"/>
        <v>6607.6766666666663</v>
      </c>
      <c r="X127" s="12">
        <f t="shared" si="62"/>
        <v>9262.5883333333331</v>
      </c>
      <c r="Y127" s="12">
        <f t="shared" si="63"/>
        <v>7124.3841666666667</v>
      </c>
      <c r="Z127" s="12">
        <f t="shared" si="64"/>
        <v>33307.041666666664</v>
      </c>
      <c r="AA127" s="12">
        <f t="shared" si="65"/>
        <v>21202.884999999998</v>
      </c>
      <c r="AB127" s="12">
        <f t="shared" si="65"/>
        <v>16359.538333333332</v>
      </c>
      <c r="AC127" s="12">
        <f t="shared" si="65"/>
        <v>42661.864166666666</v>
      </c>
      <c r="AD127" s="12">
        <f>+AD$98/12</f>
        <v>29439.338333333333</v>
      </c>
      <c r="AM127" s="12">
        <f t="shared" si="46"/>
        <v>167001.10666666663</v>
      </c>
      <c r="AN127" s="28">
        <v>45200</v>
      </c>
    </row>
    <row r="128" spans="1:40" hidden="1" x14ac:dyDescent="0.35">
      <c r="A128" s="5">
        <v>45231</v>
      </c>
      <c r="B128" s="5"/>
      <c r="O128" s="12"/>
      <c r="P128" s="12"/>
      <c r="Q128" s="12"/>
      <c r="R128" s="12"/>
      <c r="S128" s="12"/>
      <c r="T128" s="12">
        <f t="shared" si="62"/>
        <v>-5022.5708333333332</v>
      </c>
      <c r="U128" s="12">
        <f t="shared" si="62"/>
        <v>4172.75</v>
      </c>
      <c r="V128" s="12">
        <f t="shared" si="62"/>
        <v>8714.4650000000001</v>
      </c>
      <c r="W128" s="12">
        <f t="shared" si="62"/>
        <v>6607.6766666666663</v>
      </c>
      <c r="X128" s="12">
        <f t="shared" si="62"/>
        <v>9262.5883333333331</v>
      </c>
      <c r="Y128" s="12">
        <f t="shared" si="63"/>
        <v>7124.3841666666667</v>
      </c>
      <c r="Z128" s="12">
        <f t="shared" si="64"/>
        <v>33307.041666666664</v>
      </c>
      <c r="AA128" s="12">
        <f t="shared" si="65"/>
        <v>21202.884999999998</v>
      </c>
      <c r="AB128" s="12">
        <f t="shared" si="65"/>
        <v>16359.538333333332</v>
      </c>
      <c r="AC128" s="12">
        <f t="shared" si="65"/>
        <v>42661.864166666666</v>
      </c>
      <c r="AD128" s="12">
        <f t="shared" si="65"/>
        <v>29439.338333333333</v>
      </c>
      <c r="AE128" s="12">
        <f>+AE$98/12</f>
        <v>29614.958333333332</v>
      </c>
      <c r="AM128" s="12">
        <f t="shared" si="46"/>
        <v>203444.91916666666</v>
      </c>
      <c r="AN128" s="28">
        <v>45231</v>
      </c>
    </row>
    <row r="129" spans="1:40" hidden="1" x14ac:dyDescent="0.35">
      <c r="A129" s="5">
        <v>45261</v>
      </c>
      <c r="B129" s="5"/>
      <c r="O129" s="12"/>
      <c r="P129" s="12"/>
      <c r="Q129" s="12"/>
      <c r="R129" s="12"/>
      <c r="S129" s="12"/>
      <c r="T129" s="12"/>
      <c r="U129" s="12">
        <f t="shared" si="62"/>
        <v>4172.75</v>
      </c>
      <c r="V129" s="12">
        <f t="shared" si="62"/>
        <v>8714.4650000000001</v>
      </c>
      <c r="W129" s="12">
        <f t="shared" si="62"/>
        <v>6607.6766666666663</v>
      </c>
      <c r="X129" s="12">
        <f t="shared" si="62"/>
        <v>9262.5883333333331</v>
      </c>
      <c r="Y129" s="12">
        <f t="shared" si="63"/>
        <v>7124.3841666666667</v>
      </c>
      <c r="Z129" s="12">
        <f t="shared" si="64"/>
        <v>33307.041666666664</v>
      </c>
      <c r="AA129" s="12">
        <f t="shared" si="65"/>
        <v>21202.884999999998</v>
      </c>
      <c r="AB129" s="12">
        <f t="shared" si="65"/>
        <v>16359.538333333332</v>
      </c>
      <c r="AC129" s="12">
        <f t="shared" si="65"/>
        <v>42661.864166666666</v>
      </c>
      <c r="AD129" s="12">
        <f t="shared" si="65"/>
        <v>29439.338333333333</v>
      </c>
      <c r="AE129" s="12">
        <f t="shared" si="65"/>
        <v>29614.958333333332</v>
      </c>
      <c r="AF129" s="12">
        <f>+AF$98/12</f>
        <v>23211.711666666666</v>
      </c>
      <c r="AM129" s="12">
        <f t="shared" si="46"/>
        <v>231679.20166666663</v>
      </c>
      <c r="AN129" s="28">
        <v>45261</v>
      </c>
    </row>
    <row r="130" spans="1:40" hidden="1" x14ac:dyDescent="0.35">
      <c r="A130" s="5">
        <v>45292</v>
      </c>
      <c r="B130" s="5"/>
      <c r="O130" s="12"/>
      <c r="P130" s="12"/>
      <c r="Q130" s="12"/>
      <c r="R130" s="12"/>
      <c r="S130" s="12"/>
      <c r="T130" s="12"/>
      <c r="U130" s="12"/>
      <c r="V130" s="12">
        <f t="shared" si="62"/>
        <v>8714.4650000000001</v>
      </c>
      <c r="W130" s="12">
        <f t="shared" si="62"/>
        <v>6607.6766666666663</v>
      </c>
      <c r="X130" s="12">
        <f t="shared" si="62"/>
        <v>9262.5883333333331</v>
      </c>
      <c r="Y130" s="12">
        <f t="shared" si="63"/>
        <v>7124.3841666666667</v>
      </c>
      <c r="Z130" s="12">
        <f t="shared" si="64"/>
        <v>33307.041666666664</v>
      </c>
      <c r="AA130" s="12">
        <f t="shared" si="65"/>
        <v>21202.884999999998</v>
      </c>
      <c r="AB130" s="12">
        <f t="shared" si="65"/>
        <v>16359.538333333332</v>
      </c>
      <c r="AC130" s="12">
        <f t="shared" si="65"/>
        <v>42661.864166666666</v>
      </c>
      <c r="AD130" s="12">
        <f t="shared" si="65"/>
        <v>29439.338333333333</v>
      </c>
      <c r="AE130" s="12">
        <f t="shared" si="65"/>
        <v>29614.958333333332</v>
      </c>
      <c r="AF130" s="12">
        <f t="shared" si="65"/>
        <v>23211.711666666666</v>
      </c>
      <c r="AG130" s="12">
        <f>+AG$98/12</f>
        <v>25780.75</v>
      </c>
      <c r="AM130" s="12">
        <f t="shared" si="46"/>
        <v>253287.20166666669</v>
      </c>
      <c r="AN130" s="28">
        <v>45292</v>
      </c>
    </row>
    <row r="131" spans="1:40" hidden="1" x14ac:dyDescent="0.35">
      <c r="A131" s="5">
        <v>45323</v>
      </c>
      <c r="B131" s="5"/>
      <c r="O131" s="12"/>
      <c r="P131" s="12"/>
      <c r="Q131" s="12"/>
      <c r="R131" s="12"/>
      <c r="S131" s="12"/>
      <c r="T131" s="12"/>
      <c r="U131" s="12"/>
      <c r="V131" s="12"/>
      <c r="W131" s="12">
        <f t="shared" si="62"/>
        <v>6607.6766666666663</v>
      </c>
      <c r="X131" s="12">
        <f t="shared" si="62"/>
        <v>9262.5883333333331</v>
      </c>
      <c r="Y131" s="12">
        <f t="shared" si="63"/>
        <v>7124.3841666666667</v>
      </c>
      <c r="Z131" s="12">
        <f t="shared" si="64"/>
        <v>33307.041666666664</v>
      </c>
      <c r="AA131" s="12">
        <f t="shared" si="65"/>
        <v>21202.884999999998</v>
      </c>
      <c r="AB131" s="12">
        <f t="shared" si="65"/>
        <v>16359.538333333332</v>
      </c>
      <c r="AC131" s="12">
        <f t="shared" si="65"/>
        <v>42661.864166666666</v>
      </c>
      <c r="AD131" s="12">
        <f t="shared" si="65"/>
        <v>29439.338333333333</v>
      </c>
      <c r="AE131" s="12">
        <f t="shared" si="65"/>
        <v>29614.958333333332</v>
      </c>
      <c r="AF131" s="12">
        <f t="shared" si="65"/>
        <v>23211.711666666666</v>
      </c>
      <c r="AG131" s="12">
        <f t="shared" si="65"/>
        <v>25780.75</v>
      </c>
      <c r="AH131" s="12">
        <f>+AH$98/12</f>
        <v>25780.75</v>
      </c>
      <c r="AM131" s="12">
        <f t="shared" si="46"/>
        <v>270353.48666666669</v>
      </c>
      <c r="AN131" s="28">
        <v>45323</v>
      </c>
    </row>
    <row r="132" spans="1:40" hidden="1" x14ac:dyDescent="0.35">
      <c r="A132" s="5">
        <v>45352</v>
      </c>
      <c r="B132" s="5"/>
      <c r="O132" s="12"/>
      <c r="P132" s="12"/>
      <c r="Q132" s="12"/>
      <c r="R132" s="12"/>
      <c r="S132" s="12"/>
      <c r="T132" s="12"/>
      <c r="U132" s="12"/>
      <c r="V132" s="12"/>
      <c r="W132" s="12"/>
      <c r="X132" s="12">
        <f t="shared" si="62"/>
        <v>9262.5883333333331</v>
      </c>
      <c r="Y132" s="12">
        <f t="shared" si="63"/>
        <v>7124.3841666666667</v>
      </c>
      <c r="Z132" s="12">
        <f t="shared" si="64"/>
        <v>33307.041666666664</v>
      </c>
      <c r="AA132" s="12">
        <f t="shared" si="65"/>
        <v>21202.884999999998</v>
      </c>
      <c r="AB132" s="12">
        <f t="shared" si="65"/>
        <v>16359.538333333332</v>
      </c>
      <c r="AC132" s="12">
        <f t="shared" si="65"/>
        <v>42661.864166666666</v>
      </c>
      <c r="AD132" s="12">
        <f t="shared" si="65"/>
        <v>29439.338333333333</v>
      </c>
      <c r="AE132" s="12">
        <f t="shared" si="65"/>
        <v>29614.958333333332</v>
      </c>
      <c r="AF132" s="12">
        <f t="shared" si="65"/>
        <v>23211.711666666666</v>
      </c>
      <c r="AG132" s="12">
        <f t="shared" si="65"/>
        <v>25780.75</v>
      </c>
      <c r="AH132" s="12">
        <f t="shared" si="65"/>
        <v>25780.75</v>
      </c>
      <c r="AI132" s="12">
        <f>+AI$98/12</f>
        <v>25780.75</v>
      </c>
      <c r="AJ132" s="12"/>
      <c r="AK132" s="12"/>
      <c r="AL132" s="12"/>
      <c r="AM132" s="12">
        <f t="shared" si="46"/>
        <v>289526.56</v>
      </c>
      <c r="AN132" s="28">
        <v>45352</v>
      </c>
    </row>
    <row r="133" spans="1:40" hidden="1" x14ac:dyDescent="0.35">
      <c r="A133" s="5">
        <v>45383</v>
      </c>
      <c r="B133" s="5"/>
      <c r="O133" s="12"/>
      <c r="P133" s="12"/>
      <c r="Q133" s="12"/>
      <c r="R133" s="12"/>
      <c r="S133" s="12"/>
      <c r="T133" s="12"/>
      <c r="U133" s="12"/>
      <c r="V133" s="12"/>
      <c r="W133" s="12"/>
      <c r="X133" s="12"/>
      <c r="Y133" s="12">
        <f t="shared" si="63"/>
        <v>7124.3841666666667</v>
      </c>
      <c r="Z133" s="12">
        <f t="shared" si="64"/>
        <v>33307.041666666664</v>
      </c>
      <c r="AA133" s="12">
        <f t="shared" si="65"/>
        <v>21202.884999999998</v>
      </c>
      <c r="AB133" s="12">
        <f t="shared" si="65"/>
        <v>16359.538333333332</v>
      </c>
      <c r="AC133" s="12">
        <f t="shared" si="65"/>
        <v>42661.864166666666</v>
      </c>
      <c r="AD133" s="12">
        <f t="shared" si="65"/>
        <v>29439.338333333333</v>
      </c>
      <c r="AE133" s="12">
        <f t="shared" si="65"/>
        <v>29614.958333333332</v>
      </c>
      <c r="AF133" s="12">
        <f t="shared" si="65"/>
        <v>23211.711666666666</v>
      </c>
      <c r="AG133" s="12">
        <f t="shared" si="65"/>
        <v>25780.75</v>
      </c>
      <c r="AH133" s="12">
        <f t="shared" si="65"/>
        <v>25780.75</v>
      </c>
      <c r="AI133" s="12">
        <f t="shared" si="65"/>
        <v>25780.75</v>
      </c>
      <c r="AJ133" s="12">
        <f>+AJ$98/12</f>
        <v>25780.75</v>
      </c>
      <c r="AK133" s="12"/>
      <c r="AL133" s="12"/>
      <c r="AM133" s="12">
        <f t="shared" si="46"/>
        <v>306044.72166666668</v>
      </c>
      <c r="AN133" s="28">
        <v>45383</v>
      </c>
    </row>
    <row r="134" spans="1:40" hidden="1" x14ac:dyDescent="0.35">
      <c r="A134" s="5">
        <v>45413</v>
      </c>
      <c r="B134" s="5"/>
      <c r="O134" s="12"/>
      <c r="P134" s="12"/>
      <c r="Q134" s="12"/>
      <c r="R134" s="12"/>
      <c r="S134" s="12"/>
      <c r="T134" s="12"/>
      <c r="U134" s="12"/>
      <c r="V134" s="12"/>
      <c r="W134" s="12"/>
      <c r="X134" s="12"/>
      <c r="Y134" s="12"/>
      <c r="Z134" s="12">
        <f t="shared" si="64"/>
        <v>33307.041666666664</v>
      </c>
      <c r="AA134" s="12">
        <f t="shared" si="65"/>
        <v>21202.884999999998</v>
      </c>
      <c r="AB134" s="12">
        <f t="shared" si="65"/>
        <v>16359.538333333332</v>
      </c>
      <c r="AC134" s="12">
        <f t="shared" si="65"/>
        <v>42661.864166666666</v>
      </c>
      <c r="AD134" s="12">
        <f t="shared" si="65"/>
        <v>29439.338333333333</v>
      </c>
      <c r="AE134" s="12">
        <f t="shared" si="65"/>
        <v>29614.958333333332</v>
      </c>
      <c r="AF134" s="12">
        <f t="shared" si="65"/>
        <v>23211.711666666666</v>
      </c>
      <c r="AG134" s="12">
        <f t="shared" si="65"/>
        <v>25780.75</v>
      </c>
      <c r="AH134" s="12">
        <f t="shared" si="65"/>
        <v>25780.75</v>
      </c>
      <c r="AI134" s="12">
        <f t="shared" si="65"/>
        <v>25780.75</v>
      </c>
      <c r="AJ134" s="12">
        <f t="shared" si="65"/>
        <v>25780.75</v>
      </c>
      <c r="AK134" s="12">
        <f>+AK$98/12</f>
        <v>25780.75</v>
      </c>
      <c r="AL134" s="12"/>
      <c r="AM134" s="12">
        <f t="shared" si="46"/>
        <v>324701.08750000002</v>
      </c>
      <c r="AN134" s="28">
        <v>45413</v>
      </c>
    </row>
    <row r="135" spans="1:40" hidden="1" x14ac:dyDescent="0.35">
      <c r="A135" s="5">
        <v>45444</v>
      </c>
      <c r="B135" s="5"/>
      <c r="O135" s="12"/>
      <c r="P135" s="12"/>
      <c r="Q135" s="12"/>
      <c r="R135" s="12"/>
      <c r="S135" s="12"/>
      <c r="T135" s="12"/>
      <c r="U135" s="12"/>
      <c r="V135" s="12"/>
      <c r="W135" s="12"/>
      <c r="X135" s="12"/>
      <c r="Y135" s="12"/>
      <c r="Z135" s="12"/>
      <c r="AA135" s="12">
        <f t="shared" si="65"/>
        <v>21202.884999999998</v>
      </c>
      <c r="AB135" s="12">
        <f t="shared" si="65"/>
        <v>16359.538333333332</v>
      </c>
      <c r="AC135" s="12">
        <f t="shared" si="65"/>
        <v>42661.864166666666</v>
      </c>
      <c r="AD135" s="12">
        <f t="shared" si="65"/>
        <v>29439.338333333333</v>
      </c>
      <c r="AE135" s="12">
        <f t="shared" si="65"/>
        <v>29614.958333333332</v>
      </c>
      <c r="AF135" s="12">
        <f t="shared" si="65"/>
        <v>23211.711666666666</v>
      </c>
      <c r="AG135" s="12">
        <f t="shared" si="65"/>
        <v>25780.75</v>
      </c>
      <c r="AH135" s="12">
        <f t="shared" si="65"/>
        <v>25780.75</v>
      </c>
      <c r="AI135" s="12">
        <f t="shared" si="65"/>
        <v>25780.75</v>
      </c>
      <c r="AJ135" s="12">
        <f t="shared" si="65"/>
        <v>25780.75</v>
      </c>
      <c r="AK135" s="12">
        <f t="shared" si="65"/>
        <v>25780.75</v>
      </c>
      <c r="AL135" s="12">
        <f>+AL$98/12</f>
        <v>25780.75</v>
      </c>
      <c r="AM135" s="12">
        <f t="shared" si="46"/>
        <v>317174.79583333334</v>
      </c>
      <c r="AN135" s="28">
        <f>+A135</f>
        <v>45444</v>
      </c>
    </row>
    <row r="136" spans="1:40" hidden="1" x14ac:dyDescent="0.35">
      <c r="A136" s="5">
        <v>45474</v>
      </c>
      <c r="B136" s="5"/>
      <c r="O136" s="12"/>
      <c r="P136" s="12"/>
      <c r="Q136" s="12"/>
      <c r="R136" s="12"/>
      <c r="S136" s="12"/>
      <c r="T136" s="12"/>
      <c r="U136" s="12"/>
      <c r="V136" s="12"/>
      <c r="W136" s="12"/>
      <c r="X136" s="12"/>
      <c r="Y136" s="12"/>
      <c r="Z136" s="12"/>
      <c r="AA136" s="12"/>
      <c r="AB136" s="12">
        <f t="shared" si="65"/>
        <v>16359.538333333332</v>
      </c>
      <c r="AC136" s="12">
        <f t="shared" si="65"/>
        <v>42661.864166666666</v>
      </c>
      <c r="AD136" s="12">
        <f t="shared" si="65"/>
        <v>29439.338333333333</v>
      </c>
      <c r="AE136" s="12">
        <f t="shared" si="65"/>
        <v>29614.958333333332</v>
      </c>
      <c r="AF136" s="12">
        <f t="shared" si="65"/>
        <v>23211.711666666666</v>
      </c>
      <c r="AG136" s="12">
        <f t="shared" si="65"/>
        <v>25780.75</v>
      </c>
      <c r="AH136" s="12">
        <f t="shared" si="65"/>
        <v>25780.75</v>
      </c>
      <c r="AI136" s="12">
        <f t="shared" si="65"/>
        <v>25780.75</v>
      </c>
      <c r="AJ136" s="12">
        <f t="shared" si="65"/>
        <v>25780.75</v>
      </c>
      <c r="AK136" s="12">
        <f t="shared" si="65"/>
        <v>25780.75</v>
      </c>
      <c r="AL136" s="12">
        <f t="shared" si="65"/>
        <v>25780.75</v>
      </c>
      <c r="AM136" s="12">
        <f t="shared" ref="AM136:AM141" si="66">SUM(C136:AL136)</f>
        <v>295971.91083333333</v>
      </c>
      <c r="AN136" s="28">
        <f t="shared" ref="AN136:AN141" si="67">+A136</f>
        <v>45474</v>
      </c>
    </row>
    <row r="137" spans="1:40" hidden="1" x14ac:dyDescent="0.35">
      <c r="A137" s="5">
        <v>45505</v>
      </c>
      <c r="B137" s="5"/>
      <c r="O137" s="12"/>
      <c r="P137" s="12"/>
      <c r="Q137" s="12"/>
      <c r="R137" s="12"/>
      <c r="S137" s="12"/>
      <c r="T137" s="12"/>
      <c r="U137" s="12"/>
      <c r="V137" s="12"/>
      <c r="W137" s="12"/>
      <c r="X137" s="12"/>
      <c r="Y137" s="12"/>
      <c r="Z137" s="12"/>
      <c r="AA137" s="12"/>
      <c r="AC137" s="12">
        <f t="shared" si="65"/>
        <v>42661.864166666666</v>
      </c>
      <c r="AD137" s="12">
        <f t="shared" si="65"/>
        <v>29439.338333333333</v>
      </c>
      <c r="AE137" s="12">
        <f t="shared" si="65"/>
        <v>29614.958333333332</v>
      </c>
      <c r="AF137" s="12">
        <f t="shared" si="65"/>
        <v>23211.711666666666</v>
      </c>
      <c r="AG137" s="12">
        <f t="shared" si="65"/>
        <v>25780.75</v>
      </c>
      <c r="AH137" s="12">
        <f t="shared" si="65"/>
        <v>25780.75</v>
      </c>
      <c r="AI137" s="12">
        <f t="shared" si="65"/>
        <v>25780.75</v>
      </c>
      <c r="AJ137" s="12">
        <f t="shared" si="65"/>
        <v>25780.75</v>
      </c>
      <c r="AK137" s="12">
        <f t="shared" si="65"/>
        <v>25780.75</v>
      </c>
      <c r="AL137" s="12">
        <f t="shared" si="65"/>
        <v>25780.75</v>
      </c>
      <c r="AM137" s="12">
        <f t="shared" si="66"/>
        <v>279612.3725</v>
      </c>
      <c r="AN137" s="28">
        <f t="shared" si="67"/>
        <v>45505</v>
      </c>
    </row>
    <row r="138" spans="1:40" hidden="1" x14ac:dyDescent="0.35">
      <c r="A138" s="5">
        <v>45536</v>
      </c>
      <c r="B138" s="5"/>
      <c r="O138" s="12"/>
      <c r="P138" s="12"/>
      <c r="Q138" s="12"/>
      <c r="R138" s="12"/>
      <c r="S138" s="12"/>
      <c r="T138" s="12"/>
      <c r="U138" s="12"/>
      <c r="V138" s="12"/>
      <c r="W138" s="12"/>
      <c r="X138" s="12"/>
      <c r="Y138" s="12"/>
      <c r="Z138" s="12"/>
      <c r="AA138" s="12"/>
      <c r="AD138" s="12">
        <f t="shared" si="65"/>
        <v>29439.338333333333</v>
      </c>
      <c r="AE138" s="12">
        <f t="shared" si="65"/>
        <v>29614.958333333332</v>
      </c>
      <c r="AF138" s="12">
        <f t="shared" si="65"/>
        <v>23211.711666666666</v>
      </c>
      <c r="AG138" s="12">
        <f t="shared" si="65"/>
        <v>25780.75</v>
      </c>
      <c r="AH138" s="12">
        <f t="shared" si="65"/>
        <v>25780.75</v>
      </c>
      <c r="AI138" s="12">
        <f t="shared" si="65"/>
        <v>25780.75</v>
      </c>
      <c r="AJ138" s="12">
        <f t="shared" si="65"/>
        <v>25780.75</v>
      </c>
      <c r="AK138" s="12">
        <f t="shared" si="65"/>
        <v>25780.75</v>
      </c>
      <c r="AL138" s="12">
        <f t="shared" si="65"/>
        <v>25780.75</v>
      </c>
      <c r="AM138" s="12">
        <f t="shared" si="66"/>
        <v>236950.50833333333</v>
      </c>
      <c r="AN138" s="28">
        <f t="shared" si="67"/>
        <v>45536</v>
      </c>
    </row>
    <row r="139" spans="1:40" hidden="1" x14ac:dyDescent="0.35">
      <c r="A139" s="5">
        <v>45566</v>
      </c>
      <c r="B139" s="5"/>
      <c r="O139" s="12"/>
      <c r="P139" s="12"/>
      <c r="Q139" s="12"/>
      <c r="R139" s="12"/>
      <c r="S139" s="12"/>
      <c r="T139" s="12"/>
      <c r="U139" s="12"/>
      <c r="V139" s="12"/>
      <c r="W139" s="12"/>
      <c r="X139" s="12"/>
      <c r="Y139" s="12"/>
      <c r="Z139" s="12"/>
      <c r="AA139" s="12"/>
      <c r="AE139" s="12">
        <f t="shared" si="65"/>
        <v>29614.958333333332</v>
      </c>
      <c r="AF139" s="12">
        <f t="shared" si="65"/>
        <v>23211.711666666666</v>
      </c>
      <c r="AG139" s="12">
        <f t="shared" si="65"/>
        <v>25780.75</v>
      </c>
      <c r="AH139" s="12">
        <f t="shared" si="65"/>
        <v>25780.75</v>
      </c>
      <c r="AI139" s="12">
        <f t="shared" si="65"/>
        <v>25780.75</v>
      </c>
      <c r="AJ139" s="12">
        <f t="shared" si="65"/>
        <v>25780.75</v>
      </c>
      <c r="AK139" s="12">
        <f t="shared" si="65"/>
        <v>25780.75</v>
      </c>
      <c r="AL139" s="12">
        <f t="shared" si="65"/>
        <v>25780.75</v>
      </c>
      <c r="AM139" s="12">
        <f t="shared" si="66"/>
        <v>207511.16999999998</v>
      </c>
      <c r="AN139" s="28">
        <f t="shared" si="67"/>
        <v>45566</v>
      </c>
    </row>
    <row r="140" spans="1:40" hidden="1" x14ac:dyDescent="0.35">
      <c r="A140" s="5">
        <v>45597</v>
      </c>
      <c r="B140" s="5"/>
      <c r="O140" s="12"/>
      <c r="P140" s="12"/>
      <c r="Q140" s="12"/>
      <c r="R140" s="12"/>
      <c r="S140" s="12"/>
      <c r="T140" s="12"/>
      <c r="U140" s="12"/>
      <c r="V140" s="12"/>
      <c r="W140" s="12"/>
      <c r="X140" s="12"/>
      <c r="Y140" s="12"/>
      <c r="Z140" s="12"/>
      <c r="AA140" s="12"/>
      <c r="AF140" s="12">
        <f t="shared" si="65"/>
        <v>23211.711666666666</v>
      </c>
      <c r="AG140" s="12">
        <f t="shared" si="65"/>
        <v>25780.75</v>
      </c>
      <c r="AH140" s="12">
        <f t="shared" si="65"/>
        <v>25780.75</v>
      </c>
      <c r="AI140" s="12">
        <f t="shared" si="65"/>
        <v>25780.75</v>
      </c>
      <c r="AJ140" s="12">
        <f t="shared" si="65"/>
        <v>25780.75</v>
      </c>
      <c r="AK140" s="12">
        <f t="shared" si="65"/>
        <v>25780.75</v>
      </c>
      <c r="AL140" s="12">
        <f t="shared" si="65"/>
        <v>25780.75</v>
      </c>
      <c r="AM140" s="12">
        <f t="shared" si="66"/>
        <v>177896.21166666667</v>
      </c>
      <c r="AN140" s="28">
        <f t="shared" si="67"/>
        <v>45597</v>
      </c>
    </row>
    <row r="141" spans="1:40" hidden="1" x14ac:dyDescent="0.35">
      <c r="A141" s="5">
        <v>45627</v>
      </c>
      <c r="B141" s="5"/>
      <c r="O141" s="12"/>
      <c r="P141" s="12"/>
      <c r="Q141" s="12"/>
      <c r="R141" s="12"/>
      <c r="S141" s="12"/>
      <c r="T141" s="12"/>
      <c r="U141" s="12"/>
      <c r="V141" s="12"/>
      <c r="W141" s="12"/>
      <c r="X141" s="12"/>
      <c r="Y141" s="12"/>
      <c r="Z141" s="12"/>
      <c r="AA141" s="12"/>
      <c r="AG141" s="12">
        <f t="shared" ref="AG141:AL146" si="68">+AG$98/12</f>
        <v>25780.75</v>
      </c>
      <c r="AH141" s="12">
        <f t="shared" si="68"/>
        <v>25780.75</v>
      </c>
      <c r="AI141" s="12">
        <f t="shared" si="68"/>
        <v>25780.75</v>
      </c>
      <c r="AJ141" s="12">
        <f t="shared" si="68"/>
        <v>25780.75</v>
      </c>
      <c r="AK141" s="12">
        <f t="shared" si="68"/>
        <v>25780.75</v>
      </c>
      <c r="AL141" s="12">
        <f t="shared" si="68"/>
        <v>25780.75</v>
      </c>
      <c r="AM141" s="12">
        <f t="shared" si="66"/>
        <v>154684.5</v>
      </c>
      <c r="AN141" s="28">
        <f t="shared" si="67"/>
        <v>45627</v>
      </c>
    </row>
    <row r="142" spans="1:40" hidden="1" x14ac:dyDescent="0.35">
      <c r="A142" s="5">
        <v>45658</v>
      </c>
      <c r="B142" s="5"/>
      <c r="O142" s="12"/>
      <c r="P142" s="12"/>
      <c r="Q142" s="12"/>
      <c r="R142" s="12"/>
      <c r="S142" s="12"/>
      <c r="T142" s="12"/>
      <c r="U142" s="12"/>
      <c r="V142" s="12"/>
      <c r="W142" s="12"/>
      <c r="X142" s="12"/>
      <c r="Y142" s="12"/>
      <c r="Z142" s="12"/>
      <c r="AA142" s="12"/>
      <c r="AG142" s="12"/>
      <c r="AH142" s="12">
        <f t="shared" si="68"/>
        <v>25780.75</v>
      </c>
      <c r="AI142" s="12">
        <f t="shared" si="68"/>
        <v>25780.75</v>
      </c>
      <c r="AJ142" s="12">
        <f t="shared" si="68"/>
        <v>25780.75</v>
      </c>
      <c r="AK142" s="12">
        <f t="shared" si="68"/>
        <v>25780.75</v>
      </c>
      <c r="AL142" s="12">
        <f t="shared" si="68"/>
        <v>25780.75</v>
      </c>
      <c r="AM142" s="12">
        <f t="shared" ref="AM142:AM147" si="69">SUM(C142:AL142)</f>
        <v>128903.75</v>
      </c>
      <c r="AN142" s="28">
        <f t="shared" ref="AN142:AN147" si="70">+A142</f>
        <v>45658</v>
      </c>
    </row>
    <row r="143" spans="1:40" hidden="1" x14ac:dyDescent="0.35">
      <c r="A143" s="5">
        <v>45689</v>
      </c>
      <c r="B143" s="5"/>
      <c r="O143" s="12"/>
      <c r="P143" s="12"/>
      <c r="Q143" s="12"/>
      <c r="R143" s="12"/>
      <c r="S143" s="12"/>
      <c r="T143" s="12"/>
      <c r="U143" s="12"/>
      <c r="V143" s="12"/>
      <c r="W143" s="12"/>
      <c r="X143" s="12"/>
      <c r="Y143" s="12"/>
      <c r="Z143" s="12"/>
      <c r="AA143" s="12"/>
      <c r="AG143" s="12"/>
      <c r="AI143" s="12">
        <f t="shared" si="68"/>
        <v>25780.75</v>
      </c>
      <c r="AJ143" s="12">
        <f t="shared" si="68"/>
        <v>25780.75</v>
      </c>
      <c r="AK143" s="12">
        <f t="shared" si="68"/>
        <v>25780.75</v>
      </c>
      <c r="AL143" s="12">
        <f t="shared" si="68"/>
        <v>25780.75</v>
      </c>
      <c r="AM143" s="12">
        <f t="shared" si="69"/>
        <v>103123</v>
      </c>
      <c r="AN143" s="28">
        <f t="shared" si="70"/>
        <v>45689</v>
      </c>
    </row>
    <row r="144" spans="1:40" hidden="1" x14ac:dyDescent="0.35">
      <c r="A144" s="5">
        <v>45717</v>
      </c>
      <c r="B144" s="5"/>
      <c r="O144" s="12"/>
      <c r="P144" s="12"/>
      <c r="Q144" s="12"/>
      <c r="R144" s="12"/>
      <c r="S144" s="12"/>
      <c r="T144" s="12"/>
      <c r="U144" s="12"/>
      <c r="V144" s="12"/>
      <c r="W144" s="12"/>
      <c r="X144" s="12"/>
      <c r="Y144" s="12"/>
      <c r="Z144" s="12"/>
      <c r="AA144" s="12"/>
      <c r="AG144" s="12"/>
      <c r="AJ144">
        <f t="shared" si="68"/>
        <v>25780.75</v>
      </c>
      <c r="AK144">
        <f t="shared" si="68"/>
        <v>25780.75</v>
      </c>
      <c r="AL144">
        <f t="shared" si="68"/>
        <v>25780.75</v>
      </c>
      <c r="AM144" s="12">
        <f t="shared" si="69"/>
        <v>77342.25</v>
      </c>
      <c r="AN144" s="28">
        <f t="shared" si="70"/>
        <v>45717</v>
      </c>
    </row>
    <row r="145" spans="1:40" hidden="1" x14ac:dyDescent="0.35">
      <c r="A145" s="5">
        <v>45748</v>
      </c>
      <c r="B145" s="5"/>
      <c r="O145" s="12"/>
      <c r="P145" s="12"/>
      <c r="Q145" s="12"/>
      <c r="R145" s="12"/>
      <c r="S145" s="12"/>
      <c r="T145" s="12"/>
      <c r="U145" s="12"/>
      <c r="V145" s="12"/>
      <c r="W145" s="12"/>
      <c r="X145" s="12"/>
      <c r="Y145" s="12"/>
      <c r="Z145" s="12"/>
      <c r="AA145" s="12"/>
      <c r="AG145" s="12"/>
      <c r="AK145">
        <f t="shared" si="68"/>
        <v>25780.75</v>
      </c>
      <c r="AL145">
        <f t="shared" si="68"/>
        <v>25780.75</v>
      </c>
      <c r="AM145" s="12">
        <f t="shared" si="69"/>
        <v>51561.5</v>
      </c>
      <c r="AN145" s="28">
        <f t="shared" si="70"/>
        <v>45748</v>
      </c>
    </row>
    <row r="146" spans="1:40" hidden="1" x14ac:dyDescent="0.35">
      <c r="A146" s="5">
        <v>45778</v>
      </c>
      <c r="B146" s="5"/>
      <c r="O146" s="12"/>
      <c r="P146" s="12"/>
      <c r="Q146" s="12"/>
      <c r="R146" s="12"/>
      <c r="S146" s="12"/>
      <c r="T146" s="12"/>
      <c r="U146" s="12"/>
      <c r="V146" s="12"/>
      <c r="W146" s="12"/>
      <c r="X146" s="12"/>
      <c r="Y146" s="12"/>
      <c r="Z146" s="12"/>
      <c r="AA146" s="12"/>
      <c r="AG146" s="12"/>
      <c r="AL146">
        <f t="shared" si="68"/>
        <v>25780.75</v>
      </c>
      <c r="AM146" s="12">
        <f t="shared" si="69"/>
        <v>25780.75</v>
      </c>
      <c r="AN146" s="28">
        <f t="shared" si="70"/>
        <v>45778</v>
      </c>
    </row>
    <row r="147" spans="1:40" hidden="1" x14ac:dyDescent="0.35">
      <c r="A147" s="5">
        <v>45809</v>
      </c>
      <c r="B147" s="5"/>
      <c r="O147" s="12"/>
      <c r="P147" s="12"/>
      <c r="Q147" s="12"/>
      <c r="R147" s="12"/>
      <c r="S147" s="12"/>
      <c r="T147" s="12"/>
      <c r="U147" s="12"/>
      <c r="V147" s="12"/>
      <c r="W147" s="12"/>
      <c r="X147" s="12"/>
      <c r="Y147" s="12"/>
      <c r="Z147" s="12"/>
      <c r="AA147" s="12"/>
      <c r="AG147" s="12"/>
      <c r="AM147" s="12">
        <f t="shared" si="69"/>
        <v>0</v>
      </c>
      <c r="AN147" s="28">
        <f t="shared" si="70"/>
        <v>45809</v>
      </c>
    </row>
    <row r="148" spans="1:40" hidden="1" x14ac:dyDescent="0.35">
      <c r="A148" s="5"/>
      <c r="B148" s="5"/>
      <c r="O148" s="12"/>
      <c r="P148" s="12"/>
      <c r="Q148" s="12"/>
      <c r="R148" s="12"/>
      <c r="S148" s="12"/>
      <c r="T148" s="12"/>
      <c r="U148" s="12"/>
      <c r="V148" s="12"/>
      <c r="W148" s="12"/>
      <c r="X148" s="12"/>
      <c r="Y148" s="12"/>
      <c r="Z148" s="12"/>
      <c r="AA148" s="12"/>
      <c r="AM148" s="12"/>
      <c r="AN148" s="28"/>
    </row>
    <row r="149" spans="1:40" hidden="1" x14ac:dyDescent="0.35">
      <c r="C149" s="12">
        <f t="shared" ref="C149:Z149" si="71">SUM(C100:C123)</f>
        <v>0</v>
      </c>
      <c r="D149" s="12">
        <f t="shared" si="71"/>
        <v>26000.000000000004</v>
      </c>
      <c r="E149" s="12">
        <f t="shared" si="71"/>
        <v>512000.00000000006</v>
      </c>
      <c r="F149" s="12">
        <f t="shared" si="71"/>
        <v>3000</v>
      </c>
      <c r="G149" s="12">
        <f t="shared" si="71"/>
        <v>3000</v>
      </c>
      <c r="H149" s="12">
        <f t="shared" si="71"/>
        <v>3000</v>
      </c>
      <c r="I149" s="12">
        <f t="shared" si="71"/>
        <v>3000</v>
      </c>
      <c r="J149" s="12">
        <f t="shared" si="71"/>
        <v>3000</v>
      </c>
      <c r="K149" s="12">
        <f t="shared" si="71"/>
        <v>-81086.88999999997</v>
      </c>
      <c r="L149" s="12">
        <f t="shared" si="71"/>
        <v>2142.11</v>
      </c>
      <c r="M149" s="12">
        <f t="shared" si="71"/>
        <v>-41485.490000000013</v>
      </c>
      <c r="N149" s="12">
        <f t="shared" si="71"/>
        <v>-40161.97</v>
      </c>
      <c r="O149" s="12">
        <f t="shared" si="71"/>
        <v>-44456.760000000009</v>
      </c>
      <c r="P149" s="12">
        <f t="shared" si="71"/>
        <v>-92674.12</v>
      </c>
      <c r="Q149" s="12">
        <f t="shared" si="71"/>
        <v>-62487.774999999994</v>
      </c>
      <c r="R149" s="12">
        <f t="shared" si="71"/>
        <v>136719.6225</v>
      </c>
      <c r="S149" s="12">
        <f t="shared" si="71"/>
        <v>-54630.833333333328</v>
      </c>
      <c r="T149" s="12">
        <f t="shared" si="71"/>
        <v>-35157.995833333327</v>
      </c>
      <c r="U149" s="12">
        <f t="shared" si="71"/>
        <v>25036.5</v>
      </c>
      <c r="V149" s="12">
        <f t="shared" si="71"/>
        <v>43572.324999999997</v>
      </c>
      <c r="W149" s="12">
        <f t="shared" si="71"/>
        <v>26430.706666666665</v>
      </c>
      <c r="X149" s="12">
        <f t="shared" si="71"/>
        <v>27787.764999999999</v>
      </c>
      <c r="Y149" s="12">
        <f t="shared" si="71"/>
        <v>14248.768333333333</v>
      </c>
      <c r="Z149" s="12">
        <f t="shared" si="71"/>
        <v>33307.041666666664</v>
      </c>
      <c r="AB149" s="12">
        <f>SUM(C149:Z149)-AM149</f>
        <v>0</v>
      </c>
      <c r="AM149" s="12">
        <f>SUM(AM100:AM123)</f>
        <v>410103.00499999989</v>
      </c>
      <c r="AN149" s="1"/>
    </row>
    <row r="150" spans="1:40" hidden="1" x14ac:dyDescent="0.35">
      <c r="A150" t="s">
        <v>149</v>
      </c>
      <c r="C150" s="322">
        <f>+$AM$100</f>
        <v>0</v>
      </c>
      <c r="D150" s="322">
        <f>+$AM$101</f>
        <v>2166.6666666666665</v>
      </c>
      <c r="E150" s="322">
        <f>+$AM$102</f>
        <v>44833.333333333328</v>
      </c>
      <c r="F150" s="322">
        <f>+$AM$103</f>
        <v>45083.333333333328</v>
      </c>
      <c r="G150" s="322">
        <f>+$AM$104</f>
        <v>45333.333333333328</v>
      </c>
      <c r="H150" s="322">
        <f>+$AM$105</f>
        <v>45583.333333333328</v>
      </c>
      <c r="I150" s="322">
        <f>+$AM$106</f>
        <v>45833.333333333328</v>
      </c>
      <c r="J150" s="322">
        <f>+$AM$107</f>
        <v>46083.333333333328</v>
      </c>
      <c r="K150" s="322">
        <f>+$AM$108</f>
        <v>39326.092499999999</v>
      </c>
      <c r="L150" s="322">
        <f>+$AM$109</f>
        <v>39504.601666666662</v>
      </c>
      <c r="M150" s="322">
        <f>+$AM$110</f>
        <v>36047.477499999994</v>
      </c>
      <c r="N150" s="322">
        <f>+$AM$111</f>
        <v>32700.64666666666</v>
      </c>
      <c r="O150" s="322">
        <f>+$AM$112</f>
        <v>28995.916666666661</v>
      </c>
      <c r="P150" s="322">
        <f>+$AM$113</f>
        <v>18404.329999999987</v>
      </c>
      <c r="Q150" s="322">
        <f>+$AM$114</f>
        <v>-30511.114166666666</v>
      </c>
      <c r="R150" s="322">
        <f>+$AM$115</f>
        <v>-15570.045</v>
      </c>
      <c r="S150" s="322">
        <f>+$AM$116</f>
        <v>-22648.899166666666</v>
      </c>
      <c r="T150" s="322">
        <f>+$AM$117</f>
        <v>-27921.47</v>
      </c>
      <c r="U150" s="322">
        <f>+$AM$118</f>
        <v>-23998.720000000001</v>
      </c>
      <c r="V150" s="322">
        <f>+$AM$119</f>
        <v>-15534.255000000008</v>
      </c>
      <c r="W150" s="322">
        <f>+$AM$120</f>
        <v>-2169.3374999999978</v>
      </c>
      <c r="X150" s="322">
        <f>+$AM$121</f>
        <v>6914.741666666665</v>
      </c>
      <c r="Y150" s="322">
        <f>+$AM$122</f>
        <v>17496.25</v>
      </c>
      <c r="Z150" s="322">
        <f>+$AM$123</f>
        <v>54150.122499999998</v>
      </c>
      <c r="AA150" s="322">
        <f>+$AM$124</f>
        <v>79057.737499999988</v>
      </c>
      <c r="AB150" s="322">
        <f>+$AM$125</f>
        <v>103842.19583333332</v>
      </c>
      <c r="AC150" s="322">
        <f>+$AM$126</f>
        <v>152752.83749999997</v>
      </c>
      <c r="AD150" s="322">
        <f>+$AM$127</f>
        <v>167001.10666666663</v>
      </c>
      <c r="AE150" s="322">
        <f>+$AM$128</f>
        <v>203444.91916666666</v>
      </c>
      <c r="AF150" s="322">
        <f>+$AM$129</f>
        <v>231679.20166666663</v>
      </c>
      <c r="AG150" s="322">
        <f>+$AM$130</f>
        <v>253287.20166666669</v>
      </c>
      <c r="AH150" s="322">
        <f>+$AM$131</f>
        <v>270353.48666666669</v>
      </c>
      <c r="AI150" s="322">
        <f>+$AM$132</f>
        <v>289526.56</v>
      </c>
      <c r="AJ150" s="322">
        <f>+$AM$133</f>
        <v>306044.72166666668</v>
      </c>
      <c r="AK150" s="322">
        <f>+$AM$134</f>
        <v>324701.08750000002</v>
      </c>
      <c r="AL150" s="322">
        <f>+$AM$135</f>
        <v>317174.79583333334</v>
      </c>
      <c r="AM150" s="322">
        <f>SUM(C150:AL150)</f>
        <v>3108968.8566666665</v>
      </c>
      <c r="AN150" s="1" t="s">
        <v>149</v>
      </c>
    </row>
  </sheetData>
  <printOptions horizontalCentered="1"/>
  <pageMargins left="0.1" right="0.1" top="0.75" bottom="0.5" header="0.3" footer="0.3"/>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DEF52-3D56-4CB7-9D54-0CD14C07A191}">
  <sheetPr codeName="Sheet5">
    <pageSetUpPr fitToPage="1"/>
  </sheetPr>
  <dimension ref="A1:O92"/>
  <sheetViews>
    <sheetView view="pageBreakPreview" zoomScale="96" zoomScaleNormal="100" zoomScaleSheetLayoutView="96" workbookViewId="0"/>
  </sheetViews>
  <sheetFormatPr defaultRowHeight="14.5" x14ac:dyDescent="0.35"/>
  <cols>
    <col min="1" max="1" width="7.26953125" customWidth="1"/>
    <col min="2" max="2" width="6.26953125" bestFit="1" customWidth="1"/>
    <col min="3" max="3" width="18.7265625" bestFit="1" customWidth="1"/>
    <col min="4" max="4" width="14.54296875" bestFit="1" customWidth="1"/>
    <col min="5" max="5" width="15.7265625" bestFit="1" customWidth="1"/>
    <col min="6" max="6" width="14.7265625" bestFit="1" customWidth="1"/>
    <col min="7" max="7" width="15.81640625" bestFit="1" customWidth="1"/>
    <col min="8" max="8" width="16" bestFit="1" customWidth="1"/>
    <col min="9" max="9" width="7.7265625" bestFit="1" customWidth="1"/>
    <col min="10" max="11" width="14.7265625" bestFit="1" customWidth="1"/>
    <col min="12" max="12" width="8.7265625" bestFit="1" customWidth="1"/>
    <col min="13" max="13" width="9.453125" bestFit="1" customWidth="1"/>
    <col min="14" max="14" width="13.54296875" bestFit="1" customWidth="1"/>
    <col min="15" max="15" width="16.453125" bestFit="1" customWidth="1"/>
    <col min="22" max="22" width="14.26953125" bestFit="1" customWidth="1"/>
  </cols>
  <sheetData>
    <row r="1" spans="1:15" ht="18.5" x14ac:dyDescent="0.45">
      <c r="O1" s="113" t="s">
        <v>145</v>
      </c>
    </row>
    <row r="2" spans="1:15" ht="18.5" x14ac:dyDescent="0.45">
      <c r="O2" s="113" t="s">
        <v>215</v>
      </c>
    </row>
    <row r="3" spans="1:15" ht="18.5" x14ac:dyDescent="0.35">
      <c r="A3" s="130" t="s">
        <v>109</v>
      </c>
      <c r="B3" s="43"/>
      <c r="C3" s="44"/>
      <c r="D3" s="44"/>
      <c r="E3" s="44"/>
      <c r="F3" s="44"/>
      <c r="G3" s="44"/>
      <c r="H3" s="44"/>
      <c r="I3" s="44"/>
      <c r="J3" s="44"/>
      <c r="K3" s="45"/>
      <c r="L3" s="45"/>
      <c r="M3" s="45"/>
      <c r="N3" s="45"/>
      <c r="O3" s="45"/>
    </row>
    <row r="4" spans="1:15" ht="18.5" x14ac:dyDescent="0.45">
      <c r="A4" s="114" t="s">
        <v>147</v>
      </c>
      <c r="B4" s="27"/>
      <c r="C4" s="46"/>
      <c r="D4" s="46"/>
      <c r="E4" s="46"/>
      <c r="F4" s="46"/>
      <c r="G4" s="46"/>
      <c r="H4" s="46"/>
      <c r="I4" s="46"/>
      <c r="J4" s="46"/>
      <c r="K4" s="46"/>
      <c r="L4" s="46"/>
      <c r="M4" s="46"/>
      <c r="N4" s="46"/>
      <c r="O4" s="46"/>
    </row>
    <row r="5" spans="1:15" ht="18.5" x14ac:dyDescent="0.45">
      <c r="A5" s="114" t="s">
        <v>216</v>
      </c>
      <c r="B5" s="27"/>
      <c r="C5" s="46"/>
      <c r="D5" s="46"/>
      <c r="E5" s="46"/>
      <c r="F5" s="46"/>
      <c r="G5" s="46"/>
      <c r="H5" s="46"/>
      <c r="I5" s="46"/>
      <c r="J5" s="46"/>
      <c r="K5" s="46"/>
      <c r="L5" s="46"/>
      <c r="M5" s="46"/>
      <c r="N5" s="46"/>
      <c r="O5" s="46"/>
    </row>
    <row r="6" spans="1:15" ht="15.5" x14ac:dyDescent="0.35">
      <c r="A6" s="31"/>
      <c r="B6" s="31"/>
      <c r="C6" s="31"/>
      <c r="D6" s="31"/>
      <c r="E6" s="31"/>
      <c r="F6" s="31"/>
      <c r="G6" s="31"/>
      <c r="H6" s="31"/>
      <c r="I6" s="31"/>
      <c r="J6" s="31"/>
      <c r="K6" s="31"/>
      <c r="L6" s="31"/>
      <c r="M6" s="31"/>
      <c r="N6" s="31"/>
      <c r="O6" s="31"/>
    </row>
    <row r="7" spans="1:15" ht="18.5" hidden="1" x14ac:dyDescent="0.45">
      <c r="A7" s="293" t="s">
        <v>217</v>
      </c>
      <c r="B7" s="293"/>
      <c r="C7" s="40"/>
      <c r="D7" s="40"/>
      <c r="E7" s="40"/>
      <c r="F7" s="40"/>
      <c r="G7" s="40"/>
      <c r="H7" s="40"/>
      <c r="I7" s="40"/>
      <c r="J7" s="40"/>
      <c r="K7" s="40"/>
      <c r="L7" s="40"/>
      <c r="M7" s="40"/>
      <c r="N7" s="323"/>
      <c r="O7" s="40"/>
    </row>
    <row r="8" spans="1:15" ht="15.5" hidden="1" x14ac:dyDescent="0.35">
      <c r="A8" s="31"/>
      <c r="B8" s="31"/>
      <c r="C8" s="31"/>
      <c r="D8" s="31"/>
      <c r="E8" s="20" t="s">
        <v>218</v>
      </c>
      <c r="F8" s="20" t="s">
        <v>219</v>
      </c>
      <c r="G8" s="20" t="s">
        <v>220</v>
      </c>
      <c r="H8" s="31"/>
      <c r="I8" s="31"/>
      <c r="J8" s="31"/>
      <c r="K8" s="31"/>
      <c r="L8" s="20" t="s">
        <v>221</v>
      </c>
      <c r="M8" s="20" t="s">
        <v>222</v>
      </c>
      <c r="N8" s="31"/>
      <c r="O8" s="20" t="s">
        <v>181</v>
      </c>
    </row>
    <row r="9" spans="1:15" ht="15.5" hidden="1" x14ac:dyDescent="0.35">
      <c r="A9" s="31"/>
      <c r="B9" s="31"/>
      <c r="C9" s="31"/>
      <c r="D9" s="20" t="s">
        <v>214</v>
      </c>
      <c r="E9" s="20" t="s">
        <v>112</v>
      </c>
      <c r="F9" s="20" t="s">
        <v>223</v>
      </c>
      <c r="G9" s="20" t="s">
        <v>112</v>
      </c>
      <c r="H9" s="20" t="s">
        <v>224</v>
      </c>
      <c r="I9" s="31"/>
      <c r="J9" s="31"/>
      <c r="K9" s="20" t="s">
        <v>225</v>
      </c>
      <c r="L9" s="20" t="s">
        <v>226</v>
      </c>
      <c r="M9" s="20" t="s">
        <v>226</v>
      </c>
      <c r="N9" s="20" t="s">
        <v>226</v>
      </c>
      <c r="O9" s="20" t="s">
        <v>112</v>
      </c>
    </row>
    <row r="10" spans="1:15" ht="15.5" hidden="1" x14ac:dyDescent="0.35">
      <c r="A10" s="31"/>
      <c r="B10" s="31"/>
      <c r="C10" s="20" t="s">
        <v>227</v>
      </c>
      <c r="D10" s="20" t="s">
        <v>202</v>
      </c>
      <c r="E10" s="20" t="s">
        <v>228</v>
      </c>
      <c r="F10" s="20" t="s">
        <v>229</v>
      </c>
      <c r="G10" s="20" t="s">
        <v>228</v>
      </c>
      <c r="H10" s="20" t="s">
        <v>230</v>
      </c>
      <c r="I10" s="20" t="s">
        <v>192</v>
      </c>
      <c r="J10" s="20" t="s">
        <v>181</v>
      </c>
      <c r="K10" s="20" t="s">
        <v>231</v>
      </c>
      <c r="L10" s="21" t="s">
        <v>232</v>
      </c>
      <c r="M10" s="21" t="s">
        <v>233</v>
      </c>
      <c r="N10" s="20" t="s">
        <v>234</v>
      </c>
      <c r="O10" s="20" t="s">
        <v>229</v>
      </c>
    </row>
    <row r="11" spans="1:15" ht="17.5" hidden="1" x14ac:dyDescent="0.35">
      <c r="A11" s="21" t="s">
        <v>203</v>
      </c>
      <c r="B11" s="21" t="s">
        <v>156</v>
      </c>
      <c r="C11" s="21" t="s">
        <v>159</v>
      </c>
      <c r="D11" s="21" t="s">
        <v>207</v>
      </c>
      <c r="E11" s="21" t="s">
        <v>235</v>
      </c>
      <c r="F11" s="21" t="s">
        <v>236</v>
      </c>
      <c r="G11" s="21" t="s">
        <v>235</v>
      </c>
      <c r="H11" s="21" t="s">
        <v>237</v>
      </c>
      <c r="I11" s="21" t="s">
        <v>238</v>
      </c>
      <c r="J11" s="21" t="s">
        <v>192</v>
      </c>
      <c r="K11" s="21" t="s">
        <v>239</v>
      </c>
      <c r="L11" s="21" t="s">
        <v>240</v>
      </c>
      <c r="M11" s="21" t="s">
        <v>241</v>
      </c>
      <c r="N11" s="21" t="s">
        <v>242</v>
      </c>
      <c r="O11" s="21" t="s">
        <v>237</v>
      </c>
    </row>
    <row r="12" spans="1:15" ht="15.5" hidden="1" x14ac:dyDescent="0.35">
      <c r="A12" s="37"/>
      <c r="B12" s="37"/>
      <c r="C12" s="20"/>
      <c r="D12" s="20"/>
      <c r="E12" s="20"/>
      <c r="F12" s="20"/>
      <c r="G12" s="20"/>
      <c r="H12" s="20"/>
      <c r="I12" s="20"/>
      <c r="J12" s="20"/>
      <c r="K12" s="20"/>
      <c r="L12" s="20"/>
      <c r="M12" s="20"/>
      <c r="N12" s="38">
        <v>-18491.419999999998</v>
      </c>
      <c r="O12" s="20"/>
    </row>
    <row r="13" spans="1:15" ht="15.5" hidden="1" x14ac:dyDescent="0.35">
      <c r="A13" s="22" t="s">
        <v>168</v>
      </c>
      <c r="B13" s="37">
        <v>2024</v>
      </c>
      <c r="C13" s="110">
        <f>'Revs by Rate Class (EE&amp;C-1_p1)'!H18</f>
        <v>2021228.35</v>
      </c>
      <c r="D13" s="110">
        <f>+'Monthly Revenue Req.(EE&amp;C-1_p2)'!S16</f>
        <v>2589811.1900000004</v>
      </c>
      <c r="E13" s="110">
        <v>-3776124.3</v>
      </c>
      <c r="F13" s="110">
        <f>ROUND(-D13+C13,2)</f>
        <v>-568582.84</v>
      </c>
      <c r="G13" s="38">
        <f t="shared" ref="G13:G18" si="0">SUM(E13:F13)</f>
        <v>-4344707.1399999997</v>
      </c>
      <c r="H13" s="38">
        <f t="shared" ref="H13:H18" si="1">(G13+E13)/2</f>
        <v>-4060415.7199999997</v>
      </c>
      <c r="I13" s="324">
        <v>0.28110000000000002</v>
      </c>
      <c r="J13" s="38">
        <f t="shared" ref="J13:J18" si="2">ROUND(H13*I13,2)</f>
        <v>-1141382.8600000001</v>
      </c>
      <c r="K13" s="38">
        <f t="shared" ref="K13:K18" si="3">H13-J13</f>
        <v>-2919032.8599999994</v>
      </c>
      <c r="L13" s="325">
        <v>5.3699999999999998E-2</v>
      </c>
      <c r="M13" s="326">
        <f t="shared" ref="M13:M18" si="4">+L13/12</f>
        <v>4.4749999999999998E-3</v>
      </c>
      <c r="N13" s="25">
        <f>ROUND(K13*M13,2)</f>
        <v>-13062.67</v>
      </c>
      <c r="O13" s="38">
        <f>SUM(N$12:N13)+G13</f>
        <v>-4376261.2299999995</v>
      </c>
    </row>
    <row r="14" spans="1:15" ht="15.5" hidden="1" x14ac:dyDescent="0.35">
      <c r="A14" s="22" t="s">
        <v>169</v>
      </c>
      <c r="B14" s="37">
        <f t="shared" ref="B14:B19" si="5">+B13</f>
        <v>2024</v>
      </c>
      <c r="C14" s="25">
        <f>'Revs by Rate Class (EE&amp;C-1_p1)'!H19</f>
        <v>2095487.42</v>
      </c>
      <c r="D14" s="25">
        <f>+'Monthly Revenue Req.(EE&amp;C-1_p2)'!S17</f>
        <v>3066369.85</v>
      </c>
      <c r="E14" s="25">
        <f>+G13</f>
        <v>-4344707.1399999997</v>
      </c>
      <c r="F14" s="25">
        <f>ROUND(-D14+C14,2)</f>
        <v>-970882.43</v>
      </c>
      <c r="G14" s="25">
        <f t="shared" si="0"/>
        <v>-5315589.5699999994</v>
      </c>
      <c r="H14" s="25">
        <f t="shared" si="1"/>
        <v>-4830148.3549999995</v>
      </c>
      <c r="I14" s="324">
        <v>0.28110000000000002</v>
      </c>
      <c r="J14" s="25">
        <f t="shared" si="2"/>
        <v>-1357754.7</v>
      </c>
      <c r="K14" s="25">
        <f t="shared" si="3"/>
        <v>-3472393.6549999993</v>
      </c>
      <c r="L14" s="325">
        <v>4.7599999999999996E-2</v>
      </c>
      <c r="M14" s="326">
        <f t="shared" si="4"/>
        <v>3.9666666666666661E-3</v>
      </c>
      <c r="N14" s="25">
        <f>ROUND(K14*M14,2)</f>
        <v>-13773.83</v>
      </c>
      <c r="O14" s="25">
        <f>SUM(N$12:N14)+G14</f>
        <v>-5360917.4899999993</v>
      </c>
    </row>
    <row r="15" spans="1:15" ht="15.5" hidden="1" x14ac:dyDescent="0.35">
      <c r="A15" s="22" t="s">
        <v>170</v>
      </c>
      <c r="B15" s="37">
        <f t="shared" si="5"/>
        <v>2024</v>
      </c>
      <c r="C15" s="25">
        <f>'Revs by Rate Class (EE&amp;C-1_p1)'!H20</f>
        <v>1736405.16</v>
      </c>
      <c r="D15" s="25">
        <f>+'Monthly Revenue Req.(EE&amp;C-1_p2)'!S18</f>
        <v>3066175.49</v>
      </c>
      <c r="E15" s="25">
        <f>+G14</f>
        <v>-5315589.5699999994</v>
      </c>
      <c r="F15" s="25">
        <f>ROUND(-D15+C15,2)+0.01</f>
        <v>-1329770.32</v>
      </c>
      <c r="G15" s="25">
        <f t="shared" si="0"/>
        <v>-6645359.8899999997</v>
      </c>
      <c r="H15" s="25">
        <f t="shared" si="1"/>
        <v>-5980474.7299999995</v>
      </c>
      <c r="I15" s="324">
        <v>0.28110000000000002</v>
      </c>
      <c r="J15" s="25">
        <f t="shared" si="2"/>
        <v>-1681111.45</v>
      </c>
      <c r="K15" s="25">
        <f t="shared" si="3"/>
        <v>-4299363.2799999993</v>
      </c>
      <c r="L15" s="325">
        <v>4.48E-2</v>
      </c>
      <c r="M15" s="326">
        <f t="shared" si="4"/>
        <v>3.7333333333333333E-3</v>
      </c>
      <c r="N15" s="25">
        <f>ROUND(K15*M15,2)</f>
        <v>-16050.96</v>
      </c>
      <c r="O15" s="25">
        <f>SUM(N$12:N15)+G15</f>
        <v>-6706738.7699999996</v>
      </c>
    </row>
    <row r="16" spans="1:15" ht="15.5" hidden="1" x14ac:dyDescent="0.35">
      <c r="A16" s="22" t="s">
        <v>171</v>
      </c>
      <c r="B16" s="37">
        <f t="shared" si="5"/>
        <v>2024</v>
      </c>
      <c r="C16" s="25">
        <f>'Revs by Rate Class (EE&amp;C-1_p1)'!H21</f>
        <v>1363626.5000000002</v>
      </c>
      <c r="D16" s="25">
        <f>+'Monthly Revenue Req.(EE&amp;C-1_p2)'!S19</f>
        <v>3405175.77</v>
      </c>
      <c r="E16" s="25">
        <f>+G15</f>
        <v>-6645359.8899999997</v>
      </c>
      <c r="F16" s="25">
        <f>ROUND(-D16+C16,2)+0.01</f>
        <v>-2041549.26</v>
      </c>
      <c r="G16" s="25">
        <f t="shared" si="0"/>
        <v>-8686909.1500000004</v>
      </c>
      <c r="H16" s="25">
        <f t="shared" si="1"/>
        <v>-7666134.5199999996</v>
      </c>
      <c r="I16" s="324">
        <v>0.28110000000000002</v>
      </c>
      <c r="J16" s="25">
        <f t="shared" si="2"/>
        <v>-2154950.41</v>
      </c>
      <c r="K16" s="25">
        <f t="shared" si="3"/>
        <v>-5511184.1099999994</v>
      </c>
      <c r="L16" s="325">
        <v>4.2099999999999999E-2</v>
      </c>
      <c r="M16" s="326">
        <f t="shared" si="4"/>
        <v>3.5083333333333334E-3</v>
      </c>
      <c r="N16" s="25">
        <f>ROUND(K16*M16,2)</f>
        <v>-19335.07</v>
      </c>
      <c r="O16" s="25">
        <f>SUM(N$12:N16)+G16</f>
        <v>-8767623.0999999996</v>
      </c>
    </row>
    <row r="17" spans="1:15" ht="15.5" hidden="1" x14ac:dyDescent="0.35">
      <c r="A17" s="22" t="s">
        <v>172</v>
      </c>
      <c r="B17" s="37">
        <f t="shared" si="5"/>
        <v>2024</v>
      </c>
      <c r="C17" s="25">
        <f>'Revs by Rate Class (EE&amp;C-1_p1)'!H22</f>
        <v>1241307.4100000001</v>
      </c>
      <c r="D17" s="25">
        <f>+'Monthly Revenue Req.(EE&amp;C-1_p2)'!S20</f>
        <v>2215001.33</v>
      </c>
      <c r="E17" s="25">
        <f>+G16</f>
        <v>-8686909.1500000004</v>
      </c>
      <c r="F17" s="25">
        <f>ROUND(-D17+C17,2)</f>
        <v>-973693.92</v>
      </c>
      <c r="G17" s="25">
        <f t="shared" si="0"/>
        <v>-9660603.0700000003</v>
      </c>
      <c r="H17" s="25">
        <f t="shared" si="1"/>
        <v>-9173756.1099999994</v>
      </c>
      <c r="I17" s="324">
        <v>0.28110000000000002</v>
      </c>
      <c r="J17" s="25">
        <f t="shared" si="2"/>
        <v>-2578742.84</v>
      </c>
      <c r="K17" s="25">
        <f t="shared" si="3"/>
        <v>-6595013.2699999996</v>
      </c>
      <c r="L17" s="325">
        <v>4.8099999999999997E-2</v>
      </c>
      <c r="M17" s="326">
        <f t="shared" si="4"/>
        <v>4.0083333333333334E-3</v>
      </c>
      <c r="N17" s="25">
        <f>ROUND(K17*M17,2)-1272.99</f>
        <v>-27708</v>
      </c>
      <c r="O17" s="25">
        <f>SUM(N$12:N17)+G17</f>
        <v>-9769025.0199999996</v>
      </c>
    </row>
    <row r="18" spans="1:15" ht="15.5" hidden="1" x14ac:dyDescent="0.35">
      <c r="A18" s="22" t="s">
        <v>173</v>
      </c>
      <c r="B18" s="37">
        <f t="shared" si="5"/>
        <v>2024</v>
      </c>
      <c r="C18" s="25">
        <f>'Revs by Rate Class (EE&amp;C-1_p1)'!H23</f>
        <v>1401678.96</v>
      </c>
      <c r="D18" s="25">
        <f>+'Monthly Revenue Req.(EE&amp;C-1_p2)'!S21</f>
        <v>3888013.87</v>
      </c>
      <c r="E18" s="25">
        <f>+G17</f>
        <v>-9660603.0700000003</v>
      </c>
      <c r="F18" s="25">
        <f>ROUND(-D18+C18,2)</f>
        <v>-2486334.91</v>
      </c>
      <c r="G18" s="25">
        <f t="shared" si="0"/>
        <v>-12146937.98</v>
      </c>
      <c r="H18" s="25">
        <f t="shared" si="1"/>
        <v>-10903770.525</v>
      </c>
      <c r="I18" s="324">
        <v>0.28110000000000002</v>
      </c>
      <c r="J18" s="25">
        <f t="shared" si="2"/>
        <v>-3065049.89</v>
      </c>
      <c r="K18" s="25">
        <f t="shared" si="3"/>
        <v>-7838720.6349999998</v>
      </c>
      <c r="L18" s="325">
        <v>4.7699999999999999E-2</v>
      </c>
      <c r="M18" s="326">
        <f t="shared" si="4"/>
        <v>3.9750000000000002E-3</v>
      </c>
      <c r="N18" s="25">
        <f>ROUND(K18*M18,2)</f>
        <v>-31158.91</v>
      </c>
      <c r="O18" s="25">
        <f>SUM(N$12:N18)+G18</f>
        <v>-12286518.84</v>
      </c>
    </row>
    <row r="19" spans="1:15" ht="16" hidden="1" thickBot="1" x14ac:dyDescent="0.4">
      <c r="A19" s="37" t="s">
        <v>149</v>
      </c>
      <c r="B19" s="37">
        <f t="shared" si="5"/>
        <v>2024</v>
      </c>
      <c r="C19" s="327">
        <f>SUM(C13:C18)</f>
        <v>9859733.8000000007</v>
      </c>
      <c r="D19" s="327">
        <f>SUM(D13:D18)</f>
        <v>18230547.5</v>
      </c>
      <c r="E19" s="31"/>
      <c r="F19" s="31"/>
      <c r="G19" s="25"/>
      <c r="H19" s="25"/>
      <c r="I19" s="31"/>
      <c r="J19" s="31"/>
      <c r="K19" s="31"/>
      <c r="L19" s="31"/>
      <c r="M19" s="31"/>
      <c r="N19" s="256">
        <f>SUM(N12:N18)</f>
        <v>-139580.85999999999</v>
      </c>
      <c r="O19" s="31"/>
    </row>
    <row r="20" spans="1:15" ht="15.5" hidden="1" x14ac:dyDescent="0.35">
      <c r="A20" s="37"/>
      <c r="B20" s="37"/>
      <c r="C20" s="38"/>
      <c r="D20" s="38"/>
      <c r="E20" s="31"/>
      <c r="F20" s="31"/>
      <c r="G20" s="25"/>
      <c r="H20" s="25"/>
      <c r="I20" s="31"/>
      <c r="J20" s="31"/>
      <c r="K20" s="31"/>
      <c r="L20" s="31"/>
      <c r="M20" s="31"/>
      <c r="N20" s="328"/>
      <c r="O20" s="31"/>
    </row>
    <row r="21" spans="1:15" ht="16.5" hidden="1" x14ac:dyDescent="0.35">
      <c r="A21" t="s">
        <v>243</v>
      </c>
      <c r="B21" s="329"/>
      <c r="C21" s="31"/>
      <c r="D21" s="31"/>
      <c r="E21" s="36"/>
      <c r="F21" s="31"/>
      <c r="G21" s="36"/>
      <c r="H21" s="112"/>
      <c r="I21" s="31"/>
      <c r="J21" s="31"/>
      <c r="K21" s="31"/>
      <c r="L21" s="31"/>
      <c r="M21" s="31"/>
      <c r="N21" s="31"/>
      <c r="O21" s="31"/>
    </row>
    <row r="22" spans="1:15" ht="15.5" hidden="1" x14ac:dyDescent="0.35">
      <c r="A22" s="330"/>
      <c r="B22" s="330"/>
      <c r="C22" s="31"/>
      <c r="D22" s="31"/>
      <c r="E22" s="31"/>
      <c r="F22" s="31"/>
      <c r="G22" s="31"/>
      <c r="H22" s="31"/>
      <c r="I22" s="31"/>
      <c r="J22" s="31"/>
      <c r="K22" s="31"/>
      <c r="L22" s="31"/>
      <c r="M22" s="31"/>
      <c r="N22" s="31"/>
      <c r="O22" s="36"/>
    </row>
    <row r="23" spans="1:15" ht="15.5" hidden="1" x14ac:dyDescent="0.35">
      <c r="A23" s="37"/>
      <c r="B23" s="37"/>
      <c r="C23" s="4"/>
      <c r="D23" s="20"/>
      <c r="E23" s="20" t="s">
        <v>230</v>
      </c>
      <c r="F23" s="20" t="s">
        <v>219</v>
      </c>
      <c r="G23" s="20" t="s">
        <v>220</v>
      </c>
      <c r="H23" s="31"/>
      <c r="I23" s="31"/>
      <c r="J23" s="31"/>
      <c r="K23" s="31"/>
      <c r="L23" s="20" t="s">
        <v>221</v>
      </c>
      <c r="M23" s="20" t="s">
        <v>222</v>
      </c>
      <c r="N23" s="31"/>
      <c r="O23" s="20" t="s">
        <v>181</v>
      </c>
    </row>
    <row r="24" spans="1:15" ht="15.5" hidden="1" x14ac:dyDescent="0.35">
      <c r="A24" s="37"/>
      <c r="B24" s="37"/>
      <c r="C24" s="20"/>
      <c r="D24" s="20" t="s">
        <v>214</v>
      </c>
      <c r="E24" s="20" t="s">
        <v>112</v>
      </c>
      <c r="F24" s="20" t="s">
        <v>223</v>
      </c>
      <c r="G24" s="20" t="s">
        <v>112</v>
      </c>
      <c r="H24" s="20" t="s">
        <v>224</v>
      </c>
      <c r="I24" s="31"/>
      <c r="J24" s="31"/>
      <c r="K24" s="20" t="s">
        <v>225</v>
      </c>
      <c r="L24" s="20" t="s">
        <v>226</v>
      </c>
      <c r="M24" s="20" t="s">
        <v>226</v>
      </c>
      <c r="N24" s="20" t="s">
        <v>226</v>
      </c>
      <c r="O24" s="20" t="s">
        <v>112</v>
      </c>
    </row>
    <row r="25" spans="1:15" ht="15.5" hidden="1" x14ac:dyDescent="0.35">
      <c r="A25" s="37"/>
      <c r="B25" s="37"/>
      <c r="C25" s="20" t="s">
        <v>227</v>
      </c>
      <c r="D25" s="20" t="s">
        <v>202</v>
      </c>
      <c r="E25" s="20" t="s">
        <v>244</v>
      </c>
      <c r="F25" s="20" t="s">
        <v>229</v>
      </c>
      <c r="G25" s="20" t="s">
        <v>228</v>
      </c>
      <c r="H25" s="20" t="s">
        <v>230</v>
      </c>
      <c r="I25" s="20" t="s">
        <v>192</v>
      </c>
      <c r="J25" s="20" t="s">
        <v>181</v>
      </c>
      <c r="K25" s="20" t="s">
        <v>231</v>
      </c>
      <c r="L25" s="21" t="s">
        <v>245</v>
      </c>
      <c r="M25" s="21" t="s">
        <v>246</v>
      </c>
      <c r="N25" s="20" t="s">
        <v>234</v>
      </c>
      <c r="O25" s="20" t="s">
        <v>229</v>
      </c>
    </row>
    <row r="26" spans="1:15" ht="15.5" hidden="1" x14ac:dyDescent="0.35">
      <c r="A26" s="21" t="s">
        <v>203</v>
      </c>
      <c r="B26" s="21" t="s">
        <v>156</v>
      </c>
      <c r="C26" s="21" t="s">
        <v>159</v>
      </c>
      <c r="D26" s="21" t="s">
        <v>207</v>
      </c>
      <c r="E26" s="21" t="s">
        <v>235</v>
      </c>
      <c r="F26" s="21" t="s">
        <v>236</v>
      </c>
      <c r="G26" s="21" t="s">
        <v>235</v>
      </c>
      <c r="H26" s="21" t="s">
        <v>237</v>
      </c>
      <c r="I26" s="21" t="s">
        <v>238</v>
      </c>
      <c r="J26" s="21" t="s">
        <v>192</v>
      </c>
      <c r="K26" s="21" t="s">
        <v>239</v>
      </c>
      <c r="L26" s="21" t="s">
        <v>240</v>
      </c>
      <c r="M26" s="21" t="s">
        <v>241</v>
      </c>
      <c r="N26" s="21" t="s">
        <v>205</v>
      </c>
      <c r="O26" s="21" t="s">
        <v>237</v>
      </c>
    </row>
    <row r="27" spans="1:15" ht="15.5" hidden="1" x14ac:dyDescent="0.35">
      <c r="A27" s="20"/>
      <c r="B27" s="20"/>
      <c r="C27" s="20"/>
      <c r="D27" s="20"/>
      <c r="E27" s="20"/>
      <c r="F27" s="20"/>
      <c r="G27" s="20"/>
      <c r="H27" s="20"/>
      <c r="I27" s="20"/>
      <c r="J27" s="20"/>
      <c r="K27" s="20"/>
      <c r="L27" s="20"/>
      <c r="M27" s="20"/>
      <c r="N27" s="110"/>
      <c r="O27" s="20"/>
    </row>
    <row r="28" spans="1:15" ht="15.5" hidden="1" x14ac:dyDescent="0.35">
      <c r="A28" s="22" t="s">
        <v>162</v>
      </c>
      <c r="B28" s="37">
        <v>2025</v>
      </c>
      <c r="C28" s="110">
        <f>'Revs by Rate Class (EE&amp;C-1_p1)'!H29</f>
        <v>1633451.18</v>
      </c>
      <c r="D28" s="110">
        <f>'Monthly Revenue Req.(EE&amp;C-1_p2)'!S34</f>
        <v>3666252.2600000007</v>
      </c>
      <c r="E28" s="110">
        <f>+O18</f>
        <v>-12286518.84</v>
      </c>
      <c r="F28" s="110">
        <f t="shared" ref="F28:F33" si="6">-D28+C28</f>
        <v>-2032801.0800000008</v>
      </c>
      <c r="G28" s="110">
        <f t="shared" ref="G28:G33" si="7">SUM(E28:F28)</f>
        <v>-14319319.92</v>
      </c>
      <c r="H28" s="38">
        <f t="shared" ref="H28:H33" si="8">(G28+E28)/2</f>
        <v>-13302919.379999999</v>
      </c>
      <c r="I28" s="324">
        <v>0.28110000000000002</v>
      </c>
      <c r="J28" s="38">
        <f t="shared" ref="J28:J31" si="9">ROUND(H28*I28,2)</f>
        <v>-3739450.64</v>
      </c>
      <c r="K28" s="38">
        <f t="shared" ref="K28:K31" si="10">H28-J28</f>
        <v>-9563468.7399999984</v>
      </c>
      <c r="L28" s="325">
        <v>4.8500000000000001E-2</v>
      </c>
      <c r="M28" s="326">
        <f t="shared" ref="M28:M33" si="11">+L28/12</f>
        <v>4.0416666666666665E-3</v>
      </c>
      <c r="N28" s="25">
        <f>ROUND(K28*M28,2)</f>
        <v>-38652.35</v>
      </c>
      <c r="O28" s="38">
        <f>SUM(N$28:N28)+G28</f>
        <v>-14357972.27</v>
      </c>
    </row>
    <row r="29" spans="1:15" ht="15.5" hidden="1" x14ac:dyDescent="0.35">
      <c r="A29" s="22" t="s">
        <v>163</v>
      </c>
      <c r="B29" s="37">
        <f t="shared" ref="B29:B34" si="12">+B28</f>
        <v>2025</v>
      </c>
      <c r="C29" s="110">
        <f>'Revs by Rate Class (EE&amp;C-1_p1)'!H30</f>
        <v>1586505.63</v>
      </c>
      <c r="D29" s="25">
        <f>'Monthly Revenue Req.(EE&amp;C-1_p2)'!S35</f>
        <v>3703600.15</v>
      </c>
      <c r="E29" s="25">
        <f>+G28</f>
        <v>-14319319.92</v>
      </c>
      <c r="F29" s="25">
        <f t="shared" si="6"/>
        <v>-2117094.52</v>
      </c>
      <c r="G29" s="25">
        <f t="shared" si="7"/>
        <v>-16436414.439999999</v>
      </c>
      <c r="H29" s="25">
        <f t="shared" si="8"/>
        <v>-15377867.18</v>
      </c>
      <c r="I29" s="324">
        <v>0.28110000000000002</v>
      </c>
      <c r="J29" s="25">
        <f t="shared" si="9"/>
        <v>-4322718.46</v>
      </c>
      <c r="K29" s="25">
        <f t="shared" si="10"/>
        <v>-11055148.719999999</v>
      </c>
      <c r="L29" s="325">
        <v>4.8599999999999997E-2</v>
      </c>
      <c r="M29" s="326">
        <f t="shared" si="11"/>
        <v>4.0499999999999998E-3</v>
      </c>
      <c r="N29" s="25">
        <f t="shared" ref="N29:N32" si="13">ROUND(K29*M29,2)</f>
        <v>-44773.35</v>
      </c>
      <c r="O29" s="25">
        <f>SUM(N$28:N29)+G29</f>
        <v>-16519840.139999999</v>
      </c>
    </row>
    <row r="30" spans="1:15" ht="15.5" hidden="1" x14ac:dyDescent="0.35">
      <c r="A30" s="22" t="s">
        <v>164</v>
      </c>
      <c r="B30" s="37">
        <f t="shared" si="12"/>
        <v>2025</v>
      </c>
      <c r="C30" s="110">
        <f>'Revs by Rate Class (EE&amp;C-1_p1)'!H31</f>
        <v>1435022.76</v>
      </c>
      <c r="D30" s="25">
        <f>'Monthly Revenue Req.(EE&amp;C-1_p2)'!S36</f>
        <v>3461547.3299999996</v>
      </c>
      <c r="E30" s="25">
        <f>+G29</f>
        <v>-16436414.439999999</v>
      </c>
      <c r="F30" s="25">
        <f t="shared" si="6"/>
        <v>-2026524.5699999996</v>
      </c>
      <c r="G30" s="25">
        <f t="shared" si="7"/>
        <v>-18462939.009999998</v>
      </c>
      <c r="H30" s="25">
        <f t="shared" si="8"/>
        <v>-17449676.724999998</v>
      </c>
      <c r="I30" s="324">
        <v>0.28110000000000002</v>
      </c>
      <c r="J30" s="25">
        <f t="shared" si="9"/>
        <v>-4905104.13</v>
      </c>
      <c r="K30" s="25">
        <f t="shared" si="10"/>
        <v>-12544572.594999999</v>
      </c>
      <c r="L30" s="325">
        <v>4.5600000000000002E-2</v>
      </c>
      <c r="M30" s="326">
        <f t="shared" si="11"/>
        <v>3.8E-3</v>
      </c>
      <c r="N30" s="25">
        <f t="shared" si="13"/>
        <v>-47669.38</v>
      </c>
      <c r="O30" s="25">
        <f>SUM(N$28:N30)+G30</f>
        <v>-18594034.089999996</v>
      </c>
    </row>
    <row r="31" spans="1:15" ht="15.5" hidden="1" x14ac:dyDescent="0.35">
      <c r="A31" s="22" t="s">
        <v>165</v>
      </c>
      <c r="B31" s="37">
        <f t="shared" si="12"/>
        <v>2025</v>
      </c>
      <c r="C31" s="110">
        <f>'Revs by Rate Class (EE&amp;C-1_p1)'!H32</f>
        <v>1304534.0700000003</v>
      </c>
      <c r="D31" s="25">
        <f>'Monthly Revenue Req.(EE&amp;C-1_p2)'!S37</f>
        <v>3570731.7300000004</v>
      </c>
      <c r="E31" s="25">
        <f>+G30</f>
        <v>-18462939.009999998</v>
      </c>
      <c r="F31" s="25">
        <f t="shared" si="6"/>
        <v>-2266197.66</v>
      </c>
      <c r="G31" s="25">
        <f t="shared" si="7"/>
        <v>-20729136.669999998</v>
      </c>
      <c r="H31" s="25">
        <f t="shared" si="8"/>
        <v>-19596037.839999996</v>
      </c>
      <c r="I31" s="324">
        <v>0.28110000000000002</v>
      </c>
      <c r="J31" s="25">
        <f t="shared" si="9"/>
        <v>-5508446.2400000002</v>
      </c>
      <c r="K31" s="25">
        <f t="shared" si="10"/>
        <v>-14087591.599999996</v>
      </c>
      <c r="L31" s="325">
        <v>4.4699999999999997E-2</v>
      </c>
      <c r="M31" s="326">
        <f t="shared" si="11"/>
        <v>3.7249999999999996E-3</v>
      </c>
      <c r="N31" s="25">
        <f t="shared" si="13"/>
        <v>-52476.28</v>
      </c>
      <c r="O31" s="25">
        <f>SUM(N$28:N31)+G31</f>
        <v>-20912708.029999997</v>
      </c>
    </row>
    <row r="32" spans="1:15" ht="15.5" hidden="1" x14ac:dyDescent="0.35">
      <c r="A32" s="22" t="s">
        <v>166</v>
      </c>
      <c r="B32" s="37">
        <f t="shared" si="12"/>
        <v>2025</v>
      </c>
      <c r="C32" s="110">
        <f>'Revs by Rate Class (EE&amp;C-1_p1)'!H33</f>
        <v>1251324.7000000002</v>
      </c>
      <c r="D32" s="25">
        <f>'Monthly Revenue Req.(EE&amp;C-1_p2)'!S38</f>
        <v>3635874.96</v>
      </c>
      <c r="E32" s="25">
        <f>+G31</f>
        <v>-20729136.669999998</v>
      </c>
      <c r="F32" s="25">
        <f t="shared" si="6"/>
        <v>-2384550.2599999998</v>
      </c>
      <c r="G32" s="25">
        <f t="shared" si="7"/>
        <v>-23113686.93</v>
      </c>
      <c r="H32" s="25">
        <f t="shared" si="8"/>
        <v>-21921411.799999997</v>
      </c>
      <c r="I32" s="324">
        <v>0.28110000000000002</v>
      </c>
      <c r="J32" s="25">
        <f>ROUND(H32*I32,2)</f>
        <v>-6162108.8600000003</v>
      </c>
      <c r="K32" s="25">
        <f>H32-J32</f>
        <v>-15759302.939999998</v>
      </c>
      <c r="L32" s="325">
        <v>4.2999999999999997E-2</v>
      </c>
      <c r="M32" s="326">
        <f t="shared" si="11"/>
        <v>3.5833333333333329E-3</v>
      </c>
      <c r="N32" s="25">
        <f t="shared" si="13"/>
        <v>-56470.84</v>
      </c>
      <c r="O32" s="25">
        <f>SUM(N$28:N32)+G32</f>
        <v>-23353729.129999999</v>
      </c>
    </row>
    <row r="33" spans="1:15" ht="15.5" hidden="1" x14ac:dyDescent="0.35">
      <c r="A33" s="22" t="s">
        <v>167</v>
      </c>
      <c r="B33" s="37">
        <f t="shared" si="12"/>
        <v>2025</v>
      </c>
      <c r="C33" s="110">
        <f>'Revs by Rate Class (EE&amp;C-1_p1)'!H34</f>
        <v>1411212.9699999997</v>
      </c>
      <c r="D33" s="25">
        <f>'Monthly Revenue Req.(EE&amp;C-1_p2)'!S39</f>
        <v>3637873.92</v>
      </c>
      <c r="E33" s="25">
        <f>+G32</f>
        <v>-23113686.93</v>
      </c>
      <c r="F33" s="25">
        <f t="shared" si="6"/>
        <v>-2226660.9500000002</v>
      </c>
      <c r="G33" s="25">
        <f t="shared" si="7"/>
        <v>-25340347.879999999</v>
      </c>
      <c r="H33" s="25">
        <f t="shared" si="8"/>
        <v>-24227017.405000001</v>
      </c>
      <c r="I33" s="324">
        <v>0.28110000000000002</v>
      </c>
      <c r="J33" s="25">
        <f>ROUND(H33*I33,2)</f>
        <v>-6810214.5899999999</v>
      </c>
      <c r="K33" s="25">
        <f>H33-J33</f>
        <v>-17416802.815000001</v>
      </c>
      <c r="L33" s="325">
        <v>4.5399999999999996E-2</v>
      </c>
      <c r="M33" s="326">
        <f t="shared" si="11"/>
        <v>3.783333333333333E-3</v>
      </c>
      <c r="N33" s="25">
        <f>ROUND(K33*M33,2)</f>
        <v>-65893.570000000007</v>
      </c>
      <c r="O33" s="25">
        <f>SUM(N$28:N33)+G33</f>
        <v>-25646283.649999999</v>
      </c>
    </row>
    <row r="34" spans="1:15" ht="16" hidden="1" thickBot="1" x14ac:dyDescent="0.4">
      <c r="A34" s="37" t="s">
        <v>149</v>
      </c>
      <c r="B34" s="37">
        <f t="shared" si="12"/>
        <v>2025</v>
      </c>
      <c r="C34" s="327">
        <f>SUM(C28:C33)</f>
        <v>8622051.3099999987</v>
      </c>
      <c r="D34" s="327">
        <f>SUM(D28:D33)</f>
        <v>21675880.350000001</v>
      </c>
      <c r="E34" s="25"/>
      <c r="F34" s="327">
        <f>SUM(F28:F33)</f>
        <v>-13053829.039999999</v>
      </c>
      <c r="G34" s="31"/>
      <c r="H34" s="25">
        <v>0</v>
      </c>
      <c r="I34" s="25"/>
      <c r="J34" s="25"/>
      <c r="K34" s="25"/>
      <c r="L34" s="31"/>
      <c r="M34" s="31"/>
      <c r="N34" s="256">
        <f>SUM(N27:N33)</f>
        <v>-305935.77</v>
      </c>
      <c r="O34" s="25"/>
    </row>
    <row r="35" spans="1:15" ht="15.5" hidden="1" x14ac:dyDescent="0.35">
      <c r="A35" s="37"/>
      <c r="B35" s="37"/>
      <c r="C35" s="38"/>
      <c r="D35" s="38"/>
      <c r="E35" s="25"/>
      <c r="F35" s="38"/>
      <c r="G35" s="31"/>
      <c r="H35" s="25"/>
      <c r="I35" s="25"/>
      <c r="J35" s="25"/>
      <c r="K35" s="25"/>
      <c r="L35" s="31"/>
      <c r="M35" s="31"/>
      <c r="N35" s="328"/>
      <c r="O35" s="25"/>
    </row>
    <row r="36" spans="1:15" ht="18.5" x14ac:dyDescent="0.45">
      <c r="A36" s="415" t="s">
        <v>217</v>
      </c>
      <c r="B36" s="337"/>
      <c r="C36" s="338"/>
      <c r="D36" s="338"/>
      <c r="E36" s="338"/>
      <c r="F36" s="338"/>
      <c r="G36" s="338"/>
      <c r="H36" s="338"/>
      <c r="I36" s="338"/>
      <c r="J36" s="338"/>
      <c r="K36" s="338"/>
      <c r="L36" s="338"/>
      <c r="M36" s="338"/>
      <c r="N36" s="339"/>
      <c r="O36" s="338"/>
    </row>
    <row r="37" spans="1:15" ht="15.5" x14ac:dyDescent="0.35">
      <c r="A37" s="37"/>
      <c r="B37" s="37"/>
      <c r="C37" s="38"/>
      <c r="D37" s="38"/>
      <c r="E37" s="25"/>
      <c r="F37" s="38"/>
      <c r="G37" s="31"/>
      <c r="H37" s="25"/>
      <c r="I37" s="25"/>
      <c r="J37" s="25"/>
      <c r="K37" s="25"/>
      <c r="L37" s="31"/>
      <c r="M37" s="31"/>
      <c r="N37" s="328"/>
      <c r="O37" s="25"/>
    </row>
    <row r="38" spans="1:15" ht="15.5" x14ac:dyDescent="0.35">
      <c r="A38" s="37"/>
      <c r="B38" s="37"/>
      <c r="C38" s="4"/>
      <c r="D38" s="20"/>
      <c r="E38" s="20" t="s">
        <v>230</v>
      </c>
      <c r="F38" s="20" t="s">
        <v>219</v>
      </c>
      <c r="G38" s="20" t="s">
        <v>220</v>
      </c>
      <c r="H38" s="31"/>
      <c r="I38" s="31"/>
      <c r="J38" s="31"/>
      <c r="K38" s="31"/>
      <c r="L38" s="20" t="s">
        <v>221</v>
      </c>
      <c r="M38" s="20" t="s">
        <v>222</v>
      </c>
      <c r="N38" s="31"/>
      <c r="O38" s="20" t="s">
        <v>181</v>
      </c>
    </row>
    <row r="39" spans="1:15" ht="15.5" x14ac:dyDescent="0.35">
      <c r="A39" s="37"/>
      <c r="B39" s="37"/>
      <c r="C39" s="20"/>
      <c r="D39" s="20" t="s">
        <v>214</v>
      </c>
      <c r="E39" s="20" t="s">
        <v>112</v>
      </c>
      <c r="F39" s="20" t="s">
        <v>223</v>
      </c>
      <c r="G39" s="20" t="s">
        <v>112</v>
      </c>
      <c r="H39" s="20" t="s">
        <v>224</v>
      </c>
      <c r="I39" s="31"/>
      <c r="J39" s="31"/>
      <c r="K39" s="20" t="s">
        <v>225</v>
      </c>
      <c r="L39" s="20" t="s">
        <v>226</v>
      </c>
      <c r="M39" s="20" t="s">
        <v>226</v>
      </c>
      <c r="N39" s="20" t="s">
        <v>226</v>
      </c>
      <c r="O39" s="20" t="s">
        <v>112</v>
      </c>
    </row>
    <row r="40" spans="1:15" ht="15.5" x14ac:dyDescent="0.35">
      <c r="A40" s="37"/>
      <c r="B40" s="37"/>
      <c r="C40" s="20" t="s">
        <v>227</v>
      </c>
      <c r="D40" s="20" t="s">
        <v>202</v>
      </c>
      <c r="E40" s="20" t="s">
        <v>244</v>
      </c>
      <c r="F40" s="20" t="s">
        <v>229</v>
      </c>
      <c r="G40" s="20" t="s">
        <v>228</v>
      </c>
      <c r="H40" s="20" t="s">
        <v>230</v>
      </c>
      <c r="I40" s="20" t="s">
        <v>192</v>
      </c>
      <c r="J40" s="20" t="s">
        <v>181</v>
      </c>
      <c r="K40" s="20" t="s">
        <v>231</v>
      </c>
      <c r="L40" s="21" t="s">
        <v>245</v>
      </c>
      <c r="M40" s="21" t="s">
        <v>246</v>
      </c>
      <c r="N40" s="20" t="s">
        <v>234</v>
      </c>
      <c r="O40" s="20" t="s">
        <v>229</v>
      </c>
    </row>
    <row r="41" spans="1:15" ht="15.5" x14ac:dyDescent="0.35">
      <c r="A41" s="21" t="s">
        <v>203</v>
      </c>
      <c r="B41" s="21" t="s">
        <v>156</v>
      </c>
      <c r="C41" s="21" t="s">
        <v>159</v>
      </c>
      <c r="D41" s="21" t="s">
        <v>207</v>
      </c>
      <c r="E41" s="21" t="s">
        <v>235</v>
      </c>
      <c r="F41" s="21" t="s">
        <v>236</v>
      </c>
      <c r="G41" s="21" t="s">
        <v>235</v>
      </c>
      <c r="H41" s="21" t="s">
        <v>237</v>
      </c>
      <c r="I41" s="21" t="s">
        <v>238</v>
      </c>
      <c r="J41" s="21" t="s">
        <v>192</v>
      </c>
      <c r="K41" s="21" t="s">
        <v>239</v>
      </c>
      <c r="L41" s="21" t="s">
        <v>240</v>
      </c>
      <c r="M41" s="21" t="s">
        <v>241</v>
      </c>
      <c r="N41" s="21" t="s">
        <v>205</v>
      </c>
      <c r="O41" s="21" t="s">
        <v>237</v>
      </c>
    </row>
    <row r="42" spans="1:15" ht="15.5" x14ac:dyDescent="0.35">
      <c r="A42" s="20"/>
      <c r="B42" s="20"/>
      <c r="C42" s="20"/>
      <c r="D42" s="20"/>
      <c r="E42" s="20"/>
      <c r="F42" s="20"/>
      <c r="G42" s="20"/>
      <c r="H42" s="20"/>
      <c r="I42" s="20"/>
      <c r="J42" s="20"/>
      <c r="K42" s="20"/>
      <c r="L42" s="20"/>
      <c r="M42" s="20"/>
      <c r="N42" s="110">
        <f>N34</f>
        <v>-305935.77</v>
      </c>
      <c r="O42" s="20"/>
    </row>
    <row r="43" spans="1:15" ht="15.5" x14ac:dyDescent="0.35">
      <c r="A43" s="22" t="s">
        <v>168</v>
      </c>
      <c r="B43" s="37">
        <v>2025</v>
      </c>
      <c r="C43" s="110">
        <f>'Revs by Rate Class (EE&amp;C-1_p1)'!H35</f>
        <v>1971111.7599999998</v>
      </c>
      <c r="D43" s="110">
        <f>'Monthly Revenue Req.(EE&amp;C-1_p2)'!S52</f>
        <v>3611290.87</v>
      </c>
      <c r="E43" s="110">
        <f>+G33</f>
        <v>-25340347.879999999</v>
      </c>
      <c r="F43" s="110">
        <f>-D43+C43</f>
        <v>-1640179.1100000003</v>
      </c>
      <c r="G43" s="110">
        <f t="shared" ref="G43:G48" si="14">SUM(E43:F43)</f>
        <v>-26980526.989999998</v>
      </c>
      <c r="H43" s="38">
        <f t="shared" ref="H43:H48" si="15">(G43+E43)/2</f>
        <v>-26160437.434999999</v>
      </c>
      <c r="I43" s="324">
        <v>0.28110000000000002</v>
      </c>
      <c r="J43" s="38">
        <f t="shared" ref="J43:J46" si="16">ROUND(H43*I43,2)</f>
        <v>-7353698.96</v>
      </c>
      <c r="K43" s="38">
        <f t="shared" ref="K43:K46" si="17">H43-J43</f>
        <v>-18806738.474999998</v>
      </c>
      <c r="L43" s="325">
        <v>4.3799999999999999E-2</v>
      </c>
      <c r="M43" s="326">
        <f t="shared" ref="M43:M48" si="18">+L43/12</f>
        <v>3.65E-3</v>
      </c>
      <c r="N43" s="25">
        <f>ROUND(K43*M43,2)</f>
        <v>-68644.600000000006</v>
      </c>
      <c r="O43" s="38">
        <f>O33+F43+N43</f>
        <v>-27355107.359999999</v>
      </c>
    </row>
    <row r="44" spans="1:15" ht="15.5" x14ac:dyDescent="0.35">
      <c r="A44" s="22" t="s">
        <v>169</v>
      </c>
      <c r="B44" s="37">
        <f t="shared" ref="B44:B49" si="19">+B43</f>
        <v>2025</v>
      </c>
      <c r="C44" s="25">
        <f>'Revs by Rate Class (EE&amp;C-1_p1)'!H36</f>
        <v>2016096.49</v>
      </c>
      <c r="D44" s="25">
        <f>'Monthly Revenue Req.(EE&amp;C-1_p2)'!S53</f>
        <v>3531252.56</v>
      </c>
      <c r="E44" s="25">
        <f>+G43</f>
        <v>-26980526.989999998</v>
      </c>
      <c r="F44" s="25">
        <f t="shared" ref="F44:F46" si="20">-D44+C44</f>
        <v>-1515156.07</v>
      </c>
      <c r="G44" s="25">
        <f t="shared" si="14"/>
        <v>-28495683.059999999</v>
      </c>
      <c r="H44" s="25">
        <f t="shared" si="15"/>
        <v>-27738105.024999999</v>
      </c>
      <c r="I44" s="324">
        <v>0.28110000000000002</v>
      </c>
      <c r="J44" s="25">
        <f t="shared" si="16"/>
        <v>-7797181.3200000003</v>
      </c>
      <c r="K44" s="25">
        <f t="shared" si="17"/>
        <v>-19940923.704999998</v>
      </c>
      <c r="L44" s="325">
        <v>4.2900000000000001E-2</v>
      </c>
      <c r="M44" s="326">
        <f t="shared" si="18"/>
        <v>3.5750000000000001E-3</v>
      </c>
      <c r="N44" s="25">
        <f>ROUND(K44*M44,2)</f>
        <v>-71288.800000000003</v>
      </c>
      <c r="O44" s="24">
        <f>O43+N44+F44</f>
        <v>-28941552.23</v>
      </c>
    </row>
    <row r="45" spans="1:15" ht="15.5" x14ac:dyDescent="0.35">
      <c r="A45" s="22" t="s">
        <v>170</v>
      </c>
      <c r="B45" s="37">
        <f t="shared" si="19"/>
        <v>2025</v>
      </c>
      <c r="C45" s="25">
        <f>'Revs by Rate Class (EE&amp;C-1_p1)'!H37</f>
        <v>1808957.53</v>
      </c>
      <c r="D45" s="25">
        <f>'Monthly Revenue Req.(EE&amp;C-1_p2)'!S54</f>
        <v>3365824.33</v>
      </c>
      <c r="E45" s="25">
        <f>+G44</f>
        <v>-28495683.059999999</v>
      </c>
      <c r="F45" s="25">
        <f t="shared" si="20"/>
        <v>-1556866.8</v>
      </c>
      <c r="G45" s="25">
        <f t="shared" si="14"/>
        <v>-30052549.859999999</v>
      </c>
      <c r="H45" s="25">
        <f t="shared" si="15"/>
        <v>-29274116.460000001</v>
      </c>
      <c r="I45" s="324">
        <v>0.28110000000000002</v>
      </c>
      <c r="J45" s="25">
        <f t="shared" si="16"/>
        <v>-8228954.1399999997</v>
      </c>
      <c r="K45" s="25">
        <f t="shared" si="17"/>
        <v>-21045162.32</v>
      </c>
      <c r="L45" s="325">
        <v>4.2599999999999999E-2</v>
      </c>
      <c r="M45" s="326">
        <f t="shared" si="18"/>
        <v>3.5499999999999998E-3</v>
      </c>
      <c r="N45" s="25">
        <f>ROUND(K45*M45,2)</f>
        <v>-74710.33</v>
      </c>
      <c r="O45" s="24">
        <f>O44+N45+F45</f>
        <v>-30573129.359999999</v>
      </c>
    </row>
    <row r="46" spans="1:15" ht="15.5" x14ac:dyDescent="0.35">
      <c r="A46" s="22" t="s">
        <v>171</v>
      </c>
      <c r="B46" s="37">
        <f t="shared" si="19"/>
        <v>2025</v>
      </c>
      <c r="C46" s="25">
        <f>'Revs by Rate Class (EE&amp;C-1_p1)'!H38</f>
        <v>1271942.1599999999</v>
      </c>
      <c r="D46" s="25">
        <f>'Monthly Revenue Req.(EE&amp;C-1_p2)'!S55</f>
        <v>3302868.11</v>
      </c>
      <c r="E46" s="25">
        <f>+G45</f>
        <v>-30052549.859999999</v>
      </c>
      <c r="F46" s="25">
        <f t="shared" si="20"/>
        <v>-2030925.95</v>
      </c>
      <c r="G46" s="25">
        <f t="shared" si="14"/>
        <v>-32083475.809999999</v>
      </c>
      <c r="H46" s="25">
        <f t="shared" si="15"/>
        <v>-31068012.835000001</v>
      </c>
      <c r="I46" s="324">
        <v>0.28110000000000002</v>
      </c>
      <c r="J46" s="25">
        <f t="shared" si="16"/>
        <v>-8733218.4100000001</v>
      </c>
      <c r="K46" s="25">
        <f t="shared" si="17"/>
        <v>-22334794.425000001</v>
      </c>
      <c r="L46" s="325">
        <v>4.1499999999999995E-2</v>
      </c>
      <c r="M46" s="326">
        <f t="shared" si="18"/>
        <v>3.4583333333333328E-3</v>
      </c>
      <c r="N46" s="25">
        <f>ROUND(K46*M46,2)</f>
        <v>-77241.16</v>
      </c>
      <c r="O46" s="24">
        <f>O45+N46+F46</f>
        <v>-32681296.469999999</v>
      </c>
    </row>
    <row r="47" spans="1:15" ht="15.5" x14ac:dyDescent="0.35">
      <c r="A47" s="22" t="s">
        <v>172</v>
      </c>
      <c r="B47" s="37">
        <f t="shared" si="19"/>
        <v>2025</v>
      </c>
      <c r="C47" s="25">
        <f>'Revs by Rate Class (EE&amp;C-1_p1)'!H39</f>
        <v>1255151.71</v>
      </c>
      <c r="D47" s="25">
        <f>'Monthly Revenue Req.(EE&amp;C-1_p2)'!S56</f>
        <v>3207243.2800000003</v>
      </c>
      <c r="E47" s="25">
        <f>+G46</f>
        <v>-32083475.809999999</v>
      </c>
      <c r="F47" s="25">
        <f>-D47+C47</f>
        <v>-1952091.5700000003</v>
      </c>
      <c r="G47" s="25">
        <f t="shared" si="14"/>
        <v>-34035567.379999995</v>
      </c>
      <c r="H47" s="25">
        <f t="shared" si="15"/>
        <v>-33059521.594999999</v>
      </c>
      <c r="I47" s="324">
        <v>0.28110000000000002</v>
      </c>
      <c r="J47" s="25">
        <f>ROUND(H47*I47,2)</f>
        <v>-9293031.5199999996</v>
      </c>
      <c r="K47" s="25">
        <f>H47-J47</f>
        <v>-23766490.074999999</v>
      </c>
      <c r="L47" s="325">
        <v>4.2000000000000003E-2</v>
      </c>
      <c r="M47" s="326">
        <f t="shared" si="18"/>
        <v>3.5000000000000001E-3</v>
      </c>
      <c r="N47" s="25">
        <f t="shared" ref="N47:N48" si="21">ROUND(K47*M47,2)</f>
        <v>-83182.720000000001</v>
      </c>
      <c r="O47" s="24">
        <f>O46+N47+F47</f>
        <v>-34716570.759999998</v>
      </c>
    </row>
    <row r="48" spans="1:15" ht="15.5" x14ac:dyDescent="0.35">
      <c r="A48" s="22" t="s">
        <v>173</v>
      </c>
      <c r="B48" s="37">
        <f t="shared" si="19"/>
        <v>2025</v>
      </c>
      <c r="C48" s="25">
        <f>'Revs by Rate Class (EE&amp;C-1_p1)'!H40</f>
        <v>1468140.97</v>
      </c>
      <c r="D48" s="25">
        <f>'Monthly Revenue Req.(EE&amp;C-1_p2)'!S57</f>
        <v>3143727.27</v>
      </c>
      <c r="E48" s="25">
        <f>+G47</f>
        <v>-34035567.379999995</v>
      </c>
      <c r="F48" s="25">
        <f t="shared" ref="F48" si="22">-D48+C48</f>
        <v>-1675586.3</v>
      </c>
      <c r="G48" s="25">
        <f t="shared" si="14"/>
        <v>-35711153.679999992</v>
      </c>
      <c r="H48" s="25">
        <f t="shared" si="15"/>
        <v>-34873360.529999994</v>
      </c>
      <c r="I48" s="324">
        <v>0.28110000000000002</v>
      </c>
      <c r="J48" s="25">
        <f>ROUND(H48*I48,2)</f>
        <v>-9802901.6400000006</v>
      </c>
      <c r="K48" s="25">
        <f>H48-J48</f>
        <v>-25070458.889999993</v>
      </c>
      <c r="L48" s="325">
        <v>4.1399999999999999E-2</v>
      </c>
      <c r="M48" s="326">
        <f t="shared" si="18"/>
        <v>3.4499999999999999E-3</v>
      </c>
      <c r="N48" s="25">
        <f t="shared" si="21"/>
        <v>-86493.08</v>
      </c>
      <c r="O48" s="24">
        <f>O47+N48+F48</f>
        <v>-36478650.139999993</v>
      </c>
    </row>
    <row r="49" spans="1:15" ht="16" thickBot="1" x14ac:dyDescent="0.4">
      <c r="A49" s="37" t="s">
        <v>149</v>
      </c>
      <c r="B49" s="37">
        <f t="shared" si="19"/>
        <v>2025</v>
      </c>
      <c r="C49" s="327">
        <f>SUM(C43:C48)</f>
        <v>9791400.620000001</v>
      </c>
      <c r="D49" s="327">
        <f>SUM(D43:D48)</f>
        <v>20162206.419999998</v>
      </c>
      <c r="E49" s="25"/>
      <c r="F49" s="327">
        <f>SUM(F43:F48)</f>
        <v>-10370805.800000001</v>
      </c>
      <c r="G49" s="31"/>
      <c r="H49" s="25">
        <v>0</v>
      </c>
      <c r="I49" s="25"/>
      <c r="J49" s="25"/>
      <c r="K49" s="25"/>
      <c r="L49" s="31"/>
      <c r="M49" s="31"/>
      <c r="N49" s="256">
        <f>SUM(N42:N48)</f>
        <v>-767496.46</v>
      </c>
      <c r="O49" s="25"/>
    </row>
    <row r="50" spans="1:15" ht="16" thickTop="1" x14ac:dyDescent="0.35">
      <c r="A50" s="37"/>
      <c r="B50" s="37"/>
      <c r="C50" s="38"/>
      <c r="D50" s="38"/>
      <c r="E50" s="25"/>
      <c r="F50" s="38"/>
      <c r="G50" s="31"/>
      <c r="H50" s="25"/>
      <c r="I50" s="25"/>
      <c r="J50" s="25"/>
      <c r="K50" s="25"/>
      <c r="L50" s="31"/>
      <c r="M50" s="31"/>
      <c r="N50" s="328"/>
      <c r="O50" s="25"/>
    </row>
    <row r="51" spans="1:15" ht="15.5" x14ac:dyDescent="0.45">
      <c r="A51" s="544" t="s">
        <v>247</v>
      </c>
      <c r="B51" s="545"/>
      <c r="C51" s="545"/>
      <c r="D51" s="545"/>
      <c r="E51" s="545"/>
      <c r="F51" s="545"/>
      <c r="G51" s="545"/>
      <c r="H51" s="545"/>
      <c r="I51" s="545"/>
      <c r="J51" s="545"/>
      <c r="K51" s="545"/>
      <c r="L51" s="545"/>
      <c r="M51" s="545"/>
      <c r="N51" s="545"/>
      <c r="O51" s="545"/>
    </row>
    <row r="52" spans="1:15" ht="18.5" x14ac:dyDescent="0.45">
      <c r="A52" s="331"/>
      <c r="B52" s="332"/>
      <c r="C52" s="332"/>
      <c r="D52" s="332"/>
      <c r="E52" s="332"/>
      <c r="F52" s="332"/>
      <c r="G52" s="332"/>
      <c r="H52" s="332"/>
      <c r="I52" s="332"/>
      <c r="J52" s="332"/>
      <c r="K52" s="332"/>
      <c r="L52" s="332"/>
      <c r="M52" s="332"/>
      <c r="N52" s="332"/>
      <c r="O52" s="332"/>
    </row>
    <row r="53" spans="1:15" ht="18.5" x14ac:dyDescent="0.45">
      <c r="A53" s="331"/>
      <c r="B53" s="332"/>
      <c r="C53" s="20" t="s">
        <v>248</v>
      </c>
      <c r="D53" s="20" t="s">
        <v>249</v>
      </c>
      <c r="E53" s="20" t="s">
        <v>248</v>
      </c>
      <c r="F53" s="332"/>
      <c r="G53" s="332"/>
      <c r="H53" s="332"/>
      <c r="I53" s="332"/>
      <c r="J53" s="332"/>
      <c r="K53" s="332"/>
      <c r="L53" s="332"/>
      <c r="M53" s="332"/>
      <c r="N53" s="332"/>
      <c r="O53" s="332"/>
    </row>
    <row r="54" spans="1:15" ht="15.5" x14ac:dyDescent="0.35">
      <c r="A54" s="21" t="s">
        <v>203</v>
      </c>
      <c r="B54" s="21" t="s">
        <v>156</v>
      </c>
      <c r="C54" s="21" t="s">
        <v>160</v>
      </c>
      <c r="D54" s="21" t="s">
        <v>250</v>
      </c>
      <c r="E54" s="21" t="s">
        <v>159</v>
      </c>
      <c r="F54" s="38"/>
      <c r="G54" s="31"/>
      <c r="H54" s="25"/>
      <c r="I54" s="25"/>
      <c r="J54" s="25"/>
      <c r="K54" s="25"/>
      <c r="L54" s="31"/>
      <c r="M54" s="31"/>
      <c r="N54" s="328"/>
      <c r="O54" s="25"/>
    </row>
    <row r="55" spans="1:15" ht="15.5" x14ac:dyDescent="0.35">
      <c r="A55" s="22" t="s">
        <v>162</v>
      </c>
      <c r="B55" s="37">
        <v>2026</v>
      </c>
      <c r="C55" s="24">
        <f>'kWh Forecast'!C15</f>
        <v>1764257789.5636375</v>
      </c>
      <c r="D55" s="333">
        <v>9.2900000000000003E-4</v>
      </c>
      <c r="E55" s="110">
        <f t="shared" ref="E55:E60" si="23">C55*D55</f>
        <v>1638995.4865046192</v>
      </c>
      <c r="F55" s="38"/>
      <c r="G55" s="31"/>
      <c r="H55" s="25"/>
      <c r="I55" s="25"/>
      <c r="J55" s="25"/>
      <c r="K55" s="25"/>
      <c r="L55" s="31"/>
      <c r="M55" s="31"/>
      <c r="N55" s="328"/>
      <c r="O55" s="25"/>
    </row>
    <row r="56" spans="1:15" ht="15.5" x14ac:dyDescent="0.35">
      <c r="A56" s="22" t="s">
        <v>163</v>
      </c>
      <c r="B56" s="37">
        <f t="shared" ref="B56:B61" si="24">+B55</f>
        <v>2026</v>
      </c>
      <c r="C56" s="24">
        <f>'kWh Forecast'!C16</f>
        <v>1521527292.1889496</v>
      </c>
      <c r="D56" s="334">
        <f>D55</f>
        <v>9.2900000000000003E-4</v>
      </c>
      <c r="E56" s="25">
        <f t="shared" si="23"/>
        <v>1413498.8544435343</v>
      </c>
      <c r="F56" s="38"/>
      <c r="G56" s="31"/>
      <c r="H56" s="25"/>
      <c r="I56" s="25"/>
      <c r="J56" s="25"/>
      <c r="K56" s="25"/>
      <c r="L56" s="31"/>
      <c r="M56" s="31"/>
      <c r="N56" s="328"/>
      <c r="O56" s="25"/>
    </row>
    <row r="57" spans="1:15" ht="15.5" x14ac:dyDescent="0.35">
      <c r="A57" s="22" t="s">
        <v>164</v>
      </c>
      <c r="B57" s="37">
        <f t="shared" si="24"/>
        <v>2026</v>
      </c>
      <c r="C57" s="24">
        <f>'kWh Forecast'!C17</f>
        <v>1509279565.3064404</v>
      </c>
      <c r="D57" s="334">
        <f t="shared" ref="D57:D60" si="25">D56</f>
        <v>9.2900000000000003E-4</v>
      </c>
      <c r="E57" s="25">
        <f t="shared" si="23"/>
        <v>1402120.716169683</v>
      </c>
      <c r="F57" s="38"/>
      <c r="G57" s="31"/>
      <c r="H57" s="25"/>
      <c r="I57" s="25"/>
      <c r="J57" s="25"/>
      <c r="K57" s="25"/>
      <c r="L57" s="31"/>
      <c r="M57" s="31"/>
      <c r="N57" s="328"/>
      <c r="O57" s="25"/>
    </row>
    <row r="58" spans="1:15" ht="15.5" x14ac:dyDescent="0.35">
      <c r="A58" s="22" t="s">
        <v>165</v>
      </c>
      <c r="B58" s="37">
        <f t="shared" si="24"/>
        <v>2026</v>
      </c>
      <c r="C58" s="24">
        <f>'kWh Forecast'!C18</f>
        <v>1301687815.08582</v>
      </c>
      <c r="D58" s="334">
        <f t="shared" si="25"/>
        <v>9.2900000000000003E-4</v>
      </c>
      <c r="E58" s="25">
        <f t="shared" si="23"/>
        <v>1209267.9802147269</v>
      </c>
      <c r="F58" s="38"/>
      <c r="G58" s="31"/>
      <c r="H58" s="25"/>
      <c r="I58" s="25"/>
      <c r="J58" s="25"/>
      <c r="K58" s="25"/>
      <c r="L58" s="31"/>
      <c r="M58" s="31"/>
      <c r="N58" s="328"/>
      <c r="O58" s="25"/>
    </row>
    <row r="59" spans="1:15" ht="15.5" x14ac:dyDescent="0.35">
      <c r="A59" s="22" t="s">
        <v>166</v>
      </c>
      <c r="B59" s="37">
        <f t="shared" si="24"/>
        <v>2026</v>
      </c>
      <c r="C59" s="24">
        <f>'kWh Forecast'!C19</f>
        <v>1429604801.3524609</v>
      </c>
      <c r="D59" s="334">
        <f t="shared" si="25"/>
        <v>9.2900000000000003E-4</v>
      </c>
      <c r="E59" s="25">
        <f t="shared" si="23"/>
        <v>1328102.8604564362</v>
      </c>
      <c r="F59" s="38"/>
      <c r="G59" s="31"/>
      <c r="H59" s="25"/>
      <c r="I59" s="25"/>
      <c r="J59" s="25"/>
      <c r="K59" s="25"/>
      <c r="L59" s="31"/>
      <c r="M59" s="31"/>
      <c r="N59" s="328"/>
      <c r="O59" s="25"/>
    </row>
    <row r="60" spans="1:15" ht="15.5" x14ac:dyDescent="0.35">
      <c r="A60" s="22" t="s">
        <v>167</v>
      </c>
      <c r="B60" s="37">
        <f t="shared" si="24"/>
        <v>2026</v>
      </c>
      <c r="C60" s="24">
        <f>'kWh Forecast'!C20</f>
        <v>1739252991.7524381</v>
      </c>
      <c r="D60" s="334">
        <f t="shared" si="25"/>
        <v>9.2900000000000003E-4</v>
      </c>
      <c r="E60" s="25">
        <f t="shared" si="23"/>
        <v>1615766.029338015</v>
      </c>
      <c r="F60" s="38"/>
      <c r="G60" s="31"/>
      <c r="H60" s="25"/>
      <c r="I60" s="25"/>
      <c r="J60" s="25"/>
      <c r="K60" s="25"/>
      <c r="L60" s="31"/>
      <c r="M60" s="31"/>
      <c r="N60" s="328"/>
      <c r="O60" s="25"/>
    </row>
    <row r="61" spans="1:15" ht="16" thickBot="1" x14ac:dyDescent="0.4">
      <c r="A61" s="37" t="s">
        <v>149</v>
      </c>
      <c r="B61" s="37">
        <f t="shared" si="24"/>
        <v>2026</v>
      </c>
      <c r="C61" s="405">
        <f>SUM(C55:C60)</f>
        <v>9265610255.2497463</v>
      </c>
      <c r="D61" s="38"/>
      <c r="E61" s="406">
        <f>SUM(E55:E60)</f>
        <v>8607751.9271270148</v>
      </c>
      <c r="F61" s="38"/>
      <c r="G61" s="31"/>
      <c r="H61" s="25"/>
      <c r="I61" s="25"/>
      <c r="J61" s="25"/>
      <c r="K61" s="25"/>
      <c r="L61" s="31"/>
      <c r="M61" s="31"/>
      <c r="N61" s="328"/>
      <c r="O61" s="25"/>
    </row>
    <row r="62" spans="1:15" ht="16" thickTop="1" x14ac:dyDescent="0.35">
      <c r="A62" s="37"/>
      <c r="B62" s="37"/>
      <c r="C62" s="38"/>
      <c r="D62" s="38"/>
      <c r="E62" s="25"/>
      <c r="F62" s="38"/>
      <c r="G62" s="31"/>
      <c r="H62" s="25"/>
      <c r="I62" s="25"/>
      <c r="J62" s="25"/>
      <c r="K62" s="25"/>
      <c r="L62" s="31"/>
      <c r="M62" s="31"/>
      <c r="N62" s="328"/>
      <c r="O62" s="25"/>
    </row>
    <row r="63" spans="1:15" ht="15.5" x14ac:dyDescent="0.45">
      <c r="A63" s="542" t="s">
        <v>247</v>
      </c>
      <c r="B63" s="543"/>
      <c r="C63" s="543"/>
      <c r="D63" s="543"/>
      <c r="E63" s="543"/>
      <c r="F63" s="543"/>
      <c r="G63" s="543"/>
      <c r="H63" s="543"/>
      <c r="I63" s="543"/>
      <c r="J63" s="543"/>
      <c r="K63" s="543"/>
      <c r="L63" s="543"/>
      <c r="M63" s="543"/>
      <c r="N63" s="543"/>
      <c r="O63" s="543"/>
    </row>
    <row r="64" spans="1:15" ht="15.5" x14ac:dyDescent="0.35">
      <c r="A64" s="37"/>
      <c r="B64" s="37"/>
      <c r="C64" s="4"/>
      <c r="D64" s="20"/>
      <c r="E64" s="20" t="s">
        <v>230</v>
      </c>
      <c r="F64" s="20" t="s">
        <v>219</v>
      </c>
      <c r="G64" s="20" t="s">
        <v>220</v>
      </c>
      <c r="H64" s="31"/>
      <c r="I64" s="31"/>
      <c r="J64" s="31"/>
      <c r="K64" s="31"/>
      <c r="L64" s="20" t="s">
        <v>221</v>
      </c>
      <c r="M64" s="20" t="s">
        <v>222</v>
      </c>
      <c r="N64" s="31"/>
      <c r="O64" s="20" t="s">
        <v>181</v>
      </c>
    </row>
    <row r="65" spans="1:15" ht="15.5" x14ac:dyDescent="0.35">
      <c r="A65" s="37"/>
      <c r="B65" s="37"/>
      <c r="C65" s="20"/>
      <c r="D65" s="20" t="s">
        <v>213</v>
      </c>
      <c r="E65" s="20" t="s">
        <v>112</v>
      </c>
      <c r="F65" s="20" t="s">
        <v>223</v>
      </c>
      <c r="G65" s="20" t="s">
        <v>112</v>
      </c>
      <c r="H65" s="20" t="s">
        <v>224</v>
      </c>
      <c r="I65" s="31"/>
      <c r="J65" s="31"/>
      <c r="K65" s="20" t="s">
        <v>225</v>
      </c>
      <c r="L65" s="20" t="s">
        <v>226</v>
      </c>
      <c r="M65" s="20" t="s">
        <v>226</v>
      </c>
      <c r="N65" s="20" t="s">
        <v>226</v>
      </c>
      <c r="O65" s="20" t="s">
        <v>112</v>
      </c>
    </row>
    <row r="66" spans="1:15" ht="15.5" x14ac:dyDescent="0.35">
      <c r="A66" s="37"/>
      <c r="B66" s="37"/>
      <c r="C66" s="20" t="s">
        <v>213</v>
      </c>
      <c r="D66" s="20" t="s">
        <v>202</v>
      </c>
      <c r="E66" s="20" t="s">
        <v>244</v>
      </c>
      <c r="F66" s="20" t="s">
        <v>229</v>
      </c>
      <c r="G66" s="20" t="s">
        <v>228</v>
      </c>
      <c r="H66" s="20" t="s">
        <v>230</v>
      </c>
      <c r="I66" s="20" t="s">
        <v>192</v>
      </c>
      <c r="J66" s="20" t="s">
        <v>181</v>
      </c>
      <c r="K66" s="20" t="s">
        <v>231</v>
      </c>
      <c r="L66" s="21" t="s">
        <v>245</v>
      </c>
      <c r="M66" s="21" t="s">
        <v>246</v>
      </c>
      <c r="N66" s="20" t="s">
        <v>234</v>
      </c>
      <c r="O66" s="20" t="s">
        <v>229</v>
      </c>
    </row>
    <row r="67" spans="1:15" ht="15.5" x14ac:dyDescent="0.35">
      <c r="A67" s="21" t="s">
        <v>203</v>
      </c>
      <c r="B67" s="21" t="s">
        <v>156</v>
      </c>
      <c r="C67" s="21" t="s">
        <v>159</v>
      </c>
      <c r="D67" s="21" t="s">
        <v>207</v>
      </c>
      <c r="E67" s="21" t="s">
        <v>235</v>
      </c>
      <c r="F67" s="21" t="s">
        <v>236</v>
      </c>
      <c r="G67" s="21" t="s">
        <v>235</v>
      </c>
      <c r="H67" s="21" t="s">
        <v>237</v>
      </c>
      <c r="I67" s="21" t="s">
        <v>238</v>
      </c>
      <c r="J67" s="21" t="s">
        <v>192</v>
      </c>
      <c r="K67" s="21" t="s">
        <v>239</v>
      </c>
      <c r="L67" s="21" t="s">
        <v>240</v>
      </c>
      <c r="M67" s="21" t="s">
        <v>241</v>
      </c>
      <c r="N67" s="21" t="s">
        <v>205</v>
      </c>
      <c r="O67" s="21" t="s">
        <v>237</v>
      </c>
    </row>
    <row r="68" spans="1:15" ht="15.5" x14ac:dyDescent="0.35">
      <c r="A68" s="20"/>
      <c r="B68" s="20"/>
      <c r="C68" s="20"/>
      <c r="D68" s="20"/>
      <c r="E68" s="20"/>
      <c r="F68" s="20"/>
      <c r="G68" s="20"/>
      <c r="H68" s="20"/>
      <c r="I68" s="20"/>
      <c r="J68" s="20"/>
      <c r="K68" s="20"/>
      <c r="L68" s="20"/>
      <c r="M68" s="20"/>
      <c r="N68" s="110">
        <f>+N49</f>
        <v>-767496.46</v>
      </c>
      <c r="O68" s="20"/>
    </row>
    <row r="69" spans="1:15" ht="15.5" x14ac:dyDescent="0.35">
      <c r="A69" s="22" t="s">
        <v>162</v>
      </c>
      <c r="B69" s="37">
        <v>2026</v>
      </c>
      <c r="C69" s="110">
        <f>'kWh Forecast'!N15</f>
        <v>1638995.49</v>
      </c>
      <c r="D69" s="110">
        <f>'Monthly Revenue Req.(EE&amp;C-1_p2)'!S70</f>
        <v>3088920.94</v>
      </c>
      <c r="E69" s="110">
        <f>O48</f>
        <v>-36478650.139999993</v>
      </c>
      <c r="F69" s="110">
        <f>-D69+C69</f>
        <v>-1449925.45</v>
      </c>
      <c r="G69" s="110">
        <f t="shared" ref="G69:G74" si="26">SUM(E69:F69)</f>
        <v>-37928575.589999996</v>
      </c>
      <c r="H69" s="38">
        <f t="shared" ref="H69:H74" si="27">(G69+E69)/2</f>
        <v>-37203612.864999995</v>
      </c>
      <c r="I69" s="324">
        <v>0.28110000000000002</v>
      </c>
      <c r="J69" s="38">
        <f t="shared" ref="J69:J74" si="28">ROUND(H69*I69,2)</f>
        <v>-10457935.58</v>
      </c>
      <c r="K69" s="38">
        <f t="shared" ref="K69:K74" si="29">H69-J69</f>
        <v>-26745677.284999996</v>
      </c>
      <c r="L69" s="325">
        <f>L48</f>
        <v>4.1399999999999999E-2</v>
      </c>
      <c r="M69" s="326">
        <f t="shared" ref="M69:M74" si="30">+L69/12</f>
        <v>3.4499999999999999E-3</v>
      </c>
      <c r="N69" s="25">
        <f>ROUND(K69*M69,2)</f>
        <v>-92272.59</v>
      </c>
      <c r="O69" s="38">
        <f>O48+F69+N69</f>
        <v>-38020848.18</v>
      </c>
    </row>
    <row r="70" spans="1:15" ht="15.5" x14ac:dyDescent="0.35">
      <c r="A70" s="22" t="s">
        <v>163</v>
      </c>
      <c r="B70" s="37">
        <f t="shared" ref="B70:B75" si="31">+B69</f>
        <v>2026</v>
      </c>
      <c r="C70" s="25">
        <f>'kWh Forecast'!N16</f>
        <v>1413498.85</v>
      </c>
      <c r="D70" s="25">
        <f>'Monthly Revenue Req.(EE&amp;C-1_p2)'!S71</f>
        <v>3040320.65</v>
      </c>
      <c r="E70" s="25">
        <f>+G69</f>
        <v>-37928575.589999996</v>
      </c>
      <c r="F70" s="25">
        <f t="shared" ref="F70:F74" si="32">-D70+C70</f>
        <v>-1626821.7999999998</v>
      </c>
      <c r="G70" s="25">
        <f t="shared" si="26"/>
        <v>-39555397.389999993</v>
      </c>
      <c r="H70" s="25">
        <f t="shared" si="27"/>
        <v>-38741986.489999995</v>
      </c>
      <c r="I70" s="324">
        <v>0.28110000000000002</v>
      </c>
      <c r="J70" s="25">
        <f t="shared" si="28"/>
        <v>-10890372.4</v>
      </c>
      <c r="K70" s="25">
        <f t="shared" si="29"/>
        <v>-27851614.089999996</v>
      </c>
      <c r="L70" s="325">
        <f>L69</f>
        <v>4.1399999999999999E-2</v>
      </c>
      <c r="M70" s="326">
        <f t="shared" si="30"/>
        <v>3.4499999999999999E-3</v>
      </c>
      <c r="N70" s="25">
        <f t="shared" ref="N70:N74" si="33">ROUND(K70*M70,2)</f>
        <v>-96088.07</v>
      </c>
      <c r="O70" s="24">
        <f>O69+F70+N70</f>
        <v>-39743758.049999997</v>
      </c>
    </row>
    <row r="71" spans="1:15" ht="15.5" x14ac:dyDescent="0.35">
      <c r="A71" s="22" t="s">
        <v>164</v>
      </c>
      <c r="B71" s="37">
        <f t="shared" si="31"/>
        <v>2026</v>
      </c>
      <c r="C71" s="25">
        <f>'kWh Forecast'!N17</f>
        <v>1402120.72</v>
      </c>
      <c r="D71" s="25">
        <f>'Monthly Revenue Req.(EE&amp;C-1_p2)'!S72</f>
        <v>3000917.33</v>
      </c>
      <c r="E71" s="25">
        <f>+G70</f>
        <v>-39555397.389999993</v>
      </c>
      <c r="F71" s="25">
        <f t="shared" si="32"/>
        <v>-1598796.61</v>
      </c>
      <c r="G71" s="25">
        <f t="shared" si="26"/>
        <v>-41154193.999999993</v>
      </c>
      <c r="H71" s="25">
        <f t="shared" si="27"/>
        <v>-40354795.694999993</v>
      </c>
      <c r="I71" s="324">
        <v>0.28110000000000002</v>
      </c>
      <c r="J71" s="25">
        <f t="shared" si="28"/>
        <v>-11343733.07</v>
      </c>
      <c r="K71" s="25">
        <f t="shared" si="29"/>
        <v>-29011062.624999993</v>
      </c>
      <c r="L71" s="325">
        <f>L70</f>
        <v>4.1399999999999999E-2</v>
      </c>
      <c r="M71" s="326">
        <f t="shared" si="30"/>
        <v>3.4499999999999999E-3</v>
      </c>
      <c r="N71" s="25">
        <f t="shared" si="33"/>
        <v>-100088.17</v>
      </c>
      <c r="O71" s="24">
        <f>O70+F71+N71</f>
        <v>-41442642.829999998</v>
      </c>
    </row>
    <row r="72" spans="1:15" ht="15.5" x14ac:dyDescent="0.35">
      <c r="A72" s="22" t="s">
        <v>165</v>
      </c>
      <c r="B72" s="37">
        <f t="shared" si="31"/>
        <v>2026</v>
      </c>
      <c r="C72" s="25">
        <f>'kWh Forecast'!N18</f>
        <v>1209267.98</v>
      </c>
      <c r="D72" s="25">
        <f>'Monthly Revenue Req.(EE&amp;C-1_p2)'!S73</f>
        <v>2975040.8</v>
      </c>
      <c r="E72" s="25">
        <f>+G71</f>
        <v>-41154193.999999993</v>
      </c>
      <c r="F72" s="25">
        <f t="shared" si="32"/>
        <v>-1765772.8199999998</v>
      </c>
      <c r="G72" s="25">
        <f t="shared" si="26"/>
        <v>-42919966.819999993</v>
      </c>
      <c r="H72" s="25">
        <f t="shared" si="27"/>
        <v>-42037080.409999996</v>
      </c>
      <c r="I72" s="324">
        <v>0.28110000000000002</v>
      </c>
      <c r="J72" s="25">
        <f t="shared" si="28"/>
        <v>-11816623.300000001</v>
      </c>
      <c r="K72" s="25">
        <f t="shared" si="29"/>
        <v>-30220457.109999996</v>
      </c>
      <c r="L72" s="325">
        <f t="shared" ref="L72:L74" si="34">L71</f>
        <v>4.1399999999999999E-2</v>
      </c>
      <c r="M72" s="326">
        <f t="shared" si="30"/>
        <v>3.4499999999999999E-3</v>
      </c>
      <c r="N72" s="25">
        <f t="shared" si="33"/>
        <v>-104260.58</v>
      </c>
      <c r="O72" s="24">
        <f>O71+F72+N72</f>
        <v>-43312676.229999997</v>
      </c>
    </row>
    <row r="73" spans="1:15" ht="15.5" x14ac:dyDescent="0.35">
      <c r="A73" s="22" t="s">
        <v>166</v>
      </c>
      <c r="B73" s="37">
        <f t="shared" si="31"/>
        <v>2026</v>
      </c>
      <c r="C73" s="25">
        <f>'kWh Forecast'!N19</f>
        <v>1328102.8600000001</v>
      </c>
      <c r="D73" s="25">
        <f>'Monthly Revenue Req.(EE&amp;C-1_p2)'!S74</f>
        <v>2948690.08</v>
      </c>
      <c r="E73" s="25">
        <f>+G72</f>
        <v>-42919966.819999993</v>
      </c>
      <c r="F73" s="25">
        <f t="shared" si="32"/>
        <v>-1620587.22</v>
      </c>
      <c r="G73" s="25">
        <f t="shared" si="26"/>
        <v>-44540554.039999992</v>
      </c>
      <c r="H73" s="25">
        <f t="shared" si="27"/>
        <v>-43730260.429999992</v>
      </c>
      <c r="I73" s="324">
        <v>0.28110000000000002</v>
      </c>
      <c r="J73" s="25">
        <f t="shared" si="28"/>
        <v>-12292576.210000001</v>
      </c>
      <c r="K73" s="25">
        <f t="shared" si="29"/>
        <v>-31437684.219999991</v>
      </c>
      <c r="L73" s="325">
        <f t="shared" si="34"/>
        <v>4.1399999999999999E-2</v>
      </c>
      <c r="M73" s="326">
        <f t="shared" si="30"/>
        <v>3.4499999999999999E-3</v>
      </c>
      <c r="N73" s="25">
        <f t="shared" si="33"/>
        <v>-108460.01</v>
      </c>
      <c r="O73" s="24">
        <f>O72+F73+N73</f>
        <v>-45041723.459999993</v>
      </c>
    </row>
    <row r="74" spans="1:15" ht="15.5" x14ac:dyDescent="0.35">
      <c r="A74" s="22" t="s">
        <v>167</v>
      </c>
      <c r="B74" s="37">
        <f t="shared" si="31"/>
        <v>2026</v>
      </c>
      <c r="C74" s="25">
        <f>'kWh Forecast'!N20</f>
        <v>1615766.03</v>
      </c>
      <c r="D74" s="25">
        <f>'Monthly Revenue Req.(EE&amp;C-1_p2)'!S75</f>
        <v>2915598.24</v>
      </c>
      <c r="E74" s="25">
        <f>+G73</f>
        <v>-44540554.039999992</v>
      </c>
      <c r="F74" s="25">
        <f t="shared" si="32"/>
        <v>-1299832.2100000002</v>
      </c>
      <c r="G74" s="25">
        <f t="shared" si="26"/>
        <v>-45840386.249999993</v>
      </c>
      <c r="H74" s="25">
        <f t="shared" si="27"/>
        <v>-45190470.144999996</v>
      </c>
      <c r="I74" s="324">
        <v>0.28110000000000002</v>
      </c>
      <c r="J74" s="25">
        <f t="shared" si="28"/>
        <v>-12703041.16</v>
      </c>
      <c r="K74" s="25">
        <f t="shared" si="29"/>
        <v>-32487428.984999996</v>
      </c>
      <c r="L74" s="325">
        <f t="shared" si="34"/>
        <v>4.1399999999999999E-2</v>
      </c>
      <c r="M74" s="326">
        <f t="shared" si="30"/>
        <v>3.4499999999999999E-3</v>
      </c>
      <c r="N74" s="25">
        <f t="shared" si="33"/>
        <v>-112081.63</v>
      </c>
      <c r="O74" s="24">
        <f>O73+F74+N74</f>
        <v>-46453637.299999997</v>
      </c>
    </row>
    <row r="75" spans="1:15" ht="16" thickBot="1" x14ac:dyDescent="0.4">
      <c r="A75" s="37" t="s">
        <v>149</v>
      </c>
      <c r="B75" s="37">
        <f t="shared" si="31"/>
        <v>2026</v>
      </c>
      <c r="C75" s="327">
        <f>SUM(C69:C74)</f>
        <v>8607751.9299999997</v>
      </c>
      <c r="D75" s="327">
        <f>SUM(D69:D74)</f>
        <v>17969488.039999999</v>
      </c>
      <c r="E75" s="25"/>
      <c r="F75" s="327">
        <f>SUM(F69:F74)</f>
        <v>-9361736.1099999994</v>
      </c>
      <c r="G75" s="31"/>
      <c r="H75" s="25">
        <v>0</v>
      </c>
      <c r="I75" s="25"/>
      <c r="J75" s="25"/>
      <c r="K75" s="25"/>
      <c r="L75" s="31"/>
      <c r="M75" s="31"/>
      <c r="N75" s="256">
        <f>SUM(N68:N74)</f>
        <v>-1380747.5099999998</v>
      </c>
      <c r="O75" s="25"/>
    </row>
    <row r="76" spans="1:15" ht="16" thickTop="1" x14ac:dyDescent="0.35">
      <c r="A76" s="37"/>
      <c r="B76" s="37"/>
      <c r="C76" s="38"/>
      <c r="D76" s="38"/>
      <c r="E76" s="25"/>
      <c r="F76" s="38"/>
      <c r="G76" s="31"/>
      <c r="H76" s="25"/>
      <c r="I76" s="25"/>
      <c r="J76" s="25"/>
      <c r="K76" s="25"/>
      <c r="L76" s="31"/>
      <c r="M76" s="31"/>
      <c r="N76" s="328"/>
      <c r="O76" s="25"/>
    </row>
    <row r="77" spans="1:15" ht="15.5" x14ac:dyDescent="0.35">
      <c r="A77" s="37"/>
      <c r="B77" s="37"/>
      <c r="C77" s="38"/>
      <c r="D77" s="38"/>
      <c r="E77" s="25"/>
      <c r="F77" s="38"/>
      <c r="G77" s="31"/>
      <c r="H77" s="25"/>
      <c r="I77" s="25"/>
      <c r="J77" s="25"/>
      <c r="K77" s="25"/>
      <c r="L77" s="31"/>
      <c r="M77" s="31"/>
      <c r="N77" s="328"/>
      <c r="O77" s="25"/>
    </row>
    <row r="78" spans="1:15" ht="15.5" x14ac:dyDescent="0.35">
      <c r="A78" s="31" t="s">
        <v>252</v>
      </c>
      <c r="B78" s="31"/>
      <c r="C78" s="31"/>
      <c r="D78" s="31"/>
      <c r="E78" s="31"/>
      <c r="F78" s="31"/>
      <c r="G78" s="31"/>
      <c r="H78" s="31"/>
      <c r="J78" s="31"/>
      <c r="K78" s="31"/>
      <c r="L78" s="31"/>
      <c r="M78" s="31"/>
      <c r="N78" s="38"/>
      <c r="O78" s="31"/>
    </row>
    <row r="79" spans="1:15" ht="15.5" x14ac:dyDescent="0.35">
      <c r="A79" s="31" t="s">
        <v>253</v>
      </c>
      <c r="B79" s="31"/>
      <c r="N79" s="8"/>
    </row>
    <row r="80" spans="1:15" ht="15.5" x14ac:dyDescent="0.35">
      <c r="F80" s="54" t="s">
        <v>254</v>
      </c>
      <c r="G80" s="325">
        <v>3.5400000000000001E-2</v>
      </c>
    </row>
    <row r="81" spans="1:7" ht="15.5" x14ac:dyDescent="0.35">
      <c r="F81" s="54" t="s">
        <v>255</v>
      </c>
      <c r="G81" s="325">
        <v>6.0000000000000001E-3</v>
      </c>
    </row>
    <row r="82" spans="1:7" ht="16" thickBot="1" x14ac:dyDescent="0.4">
      <c r="F82" s="54" t="s">
        <v>256</v>
      </c>
      <c r="G82" s="335">
        <f>+G80+G81</f>
        <v>4.1399999999999999E-2</v>
      </c>
    </row>
    <row r="83" spans="1:7" ht="15" thickTop="1" x14ac:dyDescent="0.35"/>
    <row r="84" spans="1:7" x14ac:dyDescent="0.35">
      <c r="A84" s="336" t="s">
        <v>257</v>
      </c>
      <c r="B84" s="336"/>
      <c r="C84" s="3"/>
      <c r="D84" s="3"/>
      <c r="E84" s="3"/>
    </row>
    <row r="85" spans="1:7" x14ac:dyDescent="0.35">
      <c r="A85" s="124" t="s">
        <v>258</v>
      </c>
      <c r="B85" s="124"/>
    </row>
    <row r="86" spans="1:7" x14ac:dyDescent="0.35">
      <c r="A86" s="124" t="s">
        <v>259</v>
      </c>
      <c r="B86" s="124"/>
    </row>
    <row r="87" spans="1:7" x14ac:dyDescent="0.35">
      <c r="A87" s="124" t="s">
        <v>260</v>
      </c>
      <c r="B87" s="124"/>
    </row>
    <row r="88" spans="1:7" x14ac:dyDescent="0.35">
      <c r="A88" s="124" t="s">
        <v>261</v>
      </c>
      <c r="B88" s="124"/>
    </row>
    <row r="89" spans="1:7" x14ac:dyDescent="0.35">
      <c r="A89" s="124" t="s">
        <v>262</v>
      </c>
      <c r="B89" s="124"/>
    </row>
    <row r="90" spans="1:7" x14ac:dyDescent="0.35">
      <c r="A90" s="124" t="s">
        <v>263</v>
      </c>
      <c r="B90" s="124"/>
    </row>
    <row r="91" spans="1:7" x14ac:dyDescent="0.35">
      <c r="A91" s="124" t="s">
        <v>264</v>
      </c>
      <c r="B91" s="124"/>
    </row>
    <row r="92" spans="1:7" x14ac:dyDescent="0.35">
      <c r="A92" s="124" t="s">
        <v>265</v>
      </c>
      <c r="B92" s="124"/>
    </row>
  </sheetData>
  <mergeCells count="2">
    <mergeCell ref="A63:O63"/>
    <mergeCell ref="A51:O51"/>
  </mergeCells>
  <phoneticPr fontId="9" type="noConversion"/>
  <printOptions horizontalCentered="1"/>
  <pageMargins left="0.25" right="0.25" top="0.25" bottom="0.25" header="0.3" footer="0.3"/>
  <pageSetup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196B7-EED1-44D2-977D-982AA0F8E3C0}">
  <sheetPr codeName="Sheet6">
    <pageSetUpPr fitToPage="1"/>
  </sheetPr>
  <dimension ref="A1:X48"/>
  <sheetViews>
    <sheetView view="pageBreakPreview" topLeftCell="G1" zoomScaleNormal="100" zoomScaleSheetLayoutView="100" workbookViewId="0">
      <selection activeCell="Z35" sqref="Z35"/>
    </sheetView>
  </sheetViews>
  <sheetFormatPr defaultRowHeight="14.5" x14ac:dyDescent="0.35"/>
  <cols>
    <col min="1" max="1" width="5.7265625" bestFit="1" customWidth="1"/>
    <col min="2" max="2" width="5.54296875" bestFit="1" customWidth="1"/>
    <col min="3" max="3" width="12" bestFit="1" customWidth="1"/>
    <col min="4" max="5" width="16.81640625" bestFit="1" customWidth="1"/>
    <col min="6" max="6" width="12" bestFit="1" customWidth="1"/>
    <col min="7" max="7" width="14.26953125" bestFit="1" customWidth="1"/>
    <col min="8" max="8" width="14" bestFit="1" customWidth="1"/>
    <col min="9" max="9" width="12" bestFit="1" customWidth="1"/>
    <col min="10" max="10" width="15.1796875" bestFit="1" customWidth="1"/>
    <col min="11" max="13" width="14" bestFit="1" customWidth="1"/>
    <col min="14" max="14" width="14.7265625" bestFit="1" customWidth="1"/>
    <col min="15" max="15" width="14.54296875" bestFit="1" customWidth="1"/>
    <col min="16" max="19" width="14" bestFit="1" customWidth="1"/>
    <col min="20" max="20" width="6.453125" bestFit="1" customWidth="1"/>
    <col min="21" max="21" width="13.453125" style="1" bestFit="1" customWidth="1"/>
    <col min="22" max="22" width="2.81640625" bestFit="1" customWidth="1"/>
    <col min="23" max="23" width="14" bestFit="1" customWidth="1"/>
    <col min="24" max="24" width="10.7265625" bestFit="1" customWidth="1"/>
  </cols>
  <sheetData>
    <row r="1" spans="1:24" ht="19" thickBot="1" x14ac:dyDescent="0.5">
      <c r="S1" s="113" t="s">
        <v>145</v>
      </c>
      <c r="U1" s="93" t="s">
        <v>266</v>
      </c>
      <c r="V1" s="170">
        <v>2</v>
      </c>
    </row>
    <row r="2" spans="1:24" ht="19" thickTop="1" x14ac:dyDescent="0.45">
      <c r="S2" s="113" t="s">
        <v>267</v>
      </c>
    </row>
    <row r="3" spans="1:24" ht="18.5" x14ac:dyDescent="0.35">
      <c r="A3" s="130" t="s">
        <v>109</v>
      </c>
      <c r="B3" s="43"/>
      <c r="C3" s="44"/>
      <c r="D3" s="44"/>
      <c r="E3" s="44"/>
      <c r="F3" s="44"/>
      <c r="G3" s="44"/>
      <c r="H3" s="44"/>
      <c r="I3" s="44"/>
      <c r="J3" s="44"/>
      <c r="K3" s="45"/>
      <c r="L3" s="45"/>
      <c r="M3" s="45"/>
      <c r="N3" s="45"/>
      <c r="O3" s="45"/>
      <c r="P3" s="45"/>
      <c r="Q3" s="45"/>
      <c r="R3" s="45"/>
      <c r="S3" s="45"/>
    </row>
    <row r="4" spans="1:24" ht="18.5" x14ac:dyDescent="0.45">
      <c r="A4" s="114" t="s">
        <v>268</v>
      </c>
      <c r="B4" s="27"/>
      <c r="C4" s="46"/>
      <c r="D4" s="46"/>
      <c r="E4" s="46"/>
      <c r="F4" s="46"/>
      <c r="G4" s="46"/>
      <c r="H4" s="46"/>
      <c r="I4" s="46"/>
      <c r="J4" s="46"/>
      <c r="K4" s="46"/>
      <c r="L4" s="46"/>
      <c r="M4" s="46"/>
      <c r="N4" s="46"/>
      <c r="O4" s="46"/>
      <c r="P4" s="46"/>
      <c r="Q4" s="46"/>
      <c r="R4" s="46"/>
      <c r="S4" s="46"/>
    </row>
    <row r="5" spans="1:24" ht="18.5" x14ac:dyDescent="0.45">
      <c r="A5" s="114" t="s">
        <v>269</v>
      </c>
      <c r="B5" s="27"/>
      <c r="C5" s="46"/>
      <c r="D5" s="46"/>
      <c r="E5" s="46"/>
      <c r="F5" s="46"/>
      <c r="G5" s="46"/>
      <c r="H5" s="46"/>
      <c r="I5" s="46"/>
      <c r="J5" s="46"/>
      <c r="K5" s="46"/>
      <c r="L5" s="46"/>
      <c r="M5" s="46"/>
      <c r="N5" s="46"/>
      <c r="O5" s="46"/>
      <c r="P5" s="46"/>
      <c r="Q5" s="46"/>
      <c r="R5" s="46"/>
      <c r="S5" s="46"/>
    </row>
    <row r="6" spans="1:24" ht="18.5" x14ac:dyDescent="0.45">
      <c r="A6" s="114" t="s">
        <v>270</v>
      </c>
      <c r="B6" s="27"/>
      <c r="C6" s="46"/>
      <c r="D6" s="46"/>
      <c r="E6" s="46"/>
      <c r="F6" s="46"/>
      <c r="G6" s="46"/>
      <c r="H6" s="46"/>
      <c r="I6" s="46"/>
      <c r="J6" s="46"/>
      <c r="K6" s="46"/>
      <c r="L6" s="46"/>
      <c r="M6" s="46"/>
      <c r="N6" s="46"/>
      <c r="O6" s="46"/>
      <c r="P6" s="46"/>
      <c r="Q6" s="46"/>
      <c r="R6" s="46"/>
      <c r="S6" s="46"/>
    </row>
    <row r="9" spans="1:24" ht="15.5" x14ac:dyDescent="0.35">
      <c r="A9" s="4"/>
      <c r="B9" s="4"/>
      <c r="C9" s="39" t="s">
        <v>177</v>
      </c>
      <c r="D9" s="30"/>
      <c r="E9" s="30"/>
      <c r="F9" s="30"/>
      <c r="G9" s="30"/>
      <c r="H9" s="30"/>
      <c r="I9" s="30"/>
      <c r="J9" s="30"/>
      <c r="K9" s="30"/>
      <c r="L9" s="2"/>
      <c r="M9" s="39" t="s">
        <v>178</v>
      </c>
      <c r="N9" s="30"/>
      <c r="O9" s="30"/>
      <c r="P9" s="31"/>
      <c r="Q9" s="31"/>
      <c r="R9" s="31"/>
      <c r="S9" s="31"/>
    </row>
    <row r="10" spans="1:24" ht="15.5" x14ac:dyDescent="0.35">
      <c r="A10" s="31"/>
      <c r="B10" s="31"/>
      <c r="C10" s="20" t="s">
        <v>179</v>
      </c>
      <c r="D10" s="20" t="s">
        <v>180</v>
      </c>
      <c r="E10" s="20" t="s">
        <v>179</v>
      </c>
      <c r="F10" s="31"/>
      <c r="G10" s="20" t="s">
        <v>180</v>
      </c>
      <c r="H10" s="20" t="s">
        <v>179</v>
      </c>
      <c r="I10" s="31"/>
      <c r="J10" s="31"/>
      <c r="K10" s="31"/>
      <c r="L10" s="31"/>
      <c r="M10" s="31"/>
      <c r="N10" s="20" t="s">
        <v>181</v>
      </c>
      <c r="O10" s="31"/>
      <c r="P10" s="31"/>
      <c r="Q10" s="31"/>
      <c r="R10" s="31"/>
      <c r="S10" s="31"/>
    </row>
    <row r="11" spans="1:24" ht="16" thickBot="1" x14ac:dyDescent="0.4">
      <c r="A11" s="31"/>
      <c r="B11" s="31"/>
      <c r="C11" s="20" t="s">
        <v>182</v>
      </c>
      <c r="D11" s="20" t="s">
        <v>179</v>
      </c>
      <c r="E11" s="20" t="s">
        <v>182</v>
      </c>
      <c r="F11" s="20" t="s">
        <v>183</v>
      </c>
      <c r="G11" s="20" t="s">
        <v>183</v>
      </c>
      <c r="H11" s="20" t="s">
        <v>184</v>
      </c>
      <c r="I11" s="31"/>
      <c r="J11" s="31"/>
      <c r="K11" s="31"/>
      <c r="L11" s="20" t="s">
        <v>185</v>
      </c>
      <c r="M11" s="31"/>
      <c r="N11" s="20" t="s">
        <v>186</v>
      </c>
      <c r="O11" s="20" t="s">
        <v>187</v>
      </c>
      <c r="P11" s="20"/>
      <c r="Q11" s="31"/>
      <c r="R11" s="31"/>
      <c r="S11" s="31"/>
    </row>
    <row r="12" spans="1:24" ht="16" thickBot="1" x14ac:dyDescent="0.4">
      <c r="A12" s="31"/>
      <c r="B12" s="31"/>
      <c r="C12" s="20" t="s">
        <v>188</v>
      </c>
      <c r="D12" s="20" t="s">
        <v>182</v>
      </c>
      <c r="E12" s="20" t="s">
        <v>189</v>
      </c>
      <c r="F12" s="20" t="s">
        <v>190</v>
      </c>
      <c r="G12" s="20" t="s">
        <v>190</v>
      </c>
      <c r="H12" s="20" t="s">
        <v>191</v>
      </c>
      <c r="I12" s="31"/>
      <c r="J12" s="20" t="s">
        <v>180</v>
      </c>
      <c r="K12" s="20" t="s">
        <v>149</v>
      </c>
      <c r="L12" s="20" t="s">
        <v>149</v>
      </c>
      <c r="M12" s="20" t="s">
        <v>192</v>
      </c>
      <c r="N12" s="20" t="s">
        <v>192</v>
      </c>
      <c r="O12" s="20" t="s">
        <v>193</v>
      </c>
      <c r="P12" s="20"/>
      <c r="Q12" s="32">
        <f>+'CAP-1 WACC'!F16</f>
        <v>7.6083333333333341E-3</v>
      </c>
      <c r="R12" s="33" t="s">
        <v>194</v>
      </c>
      <c r="S12" s="20" t="s">
        <v>112</v>
      </c>
    </row>
    <row r="13" spans="1:24" ht="16" thickBot="1" x14ac:dyDescent="0.4">
      <c r="A13" s="31"/>
      <c r="B13" s="31"/>
      <c r="C13" s="20" t="s">
        <v>195</v>
      </c>
      <c r="D13" s="20" t="s">
        <v>189</v>
      </c>
      <c r="E13" s="20" t="s">
        <v>196</v>
      </c>
      <c r="F13" s="20" t="s">
        <v>191</v>
      </c>
      <c r="G13" s="20" t="s">
        <v>191</v>
      </c>
      <c r="H13" s="20" t="s">
        <v>197</v>
      </c>
      <c r="I13" s="20" t="s">
        <v>149</v>
      </c>
      <c r="J13" s="20" t="s">
        <v>149</v>
      </c>
      <c r="K13" s="20" t="s">
        <v>197</v>
      </c>
      <c r="L13" s="20" t="s">
        <v>197</v>
      </c>
      <c r="M13" s="20" t="s">
        <v>197</v>
      </c>
      <c r="N13" s="20" t="s">
        <v>198</v>
      </c>
      <c r="O13" s="20" t="s">
        <v>186</v>
      </c>
      <c r="P13" s="20" t="s">
        <v>199</v>
      </c>
      <c r="Q13" s="20" t="s">
        <v>200</v>
      </c>
      <c r="R13" s="20" t="s">
        <v>201</v>
      </c>
      <c r="S13" s="20" t="s">
        <v>202</v>
      </c>
    </row>
    <row r="14" spans="1:24" ht="16" thickBot="1" x14ac:dyDescent="0.4">
      <c r="A14" s="21" t="s">
        <v>203</v>
      </c>
      <c r="B14" s="21" t="s">
        <v>156</v>
      </c>
      <c r="C14" s="21" t="s">
        <v>204</v>
      </c>
      <c r="D14" s="21" t="s">
        <v>204</v>
      </c>
      <c r="E14" s="21" t="s">
        <v>205</v>
      </c>
      <c r="F14" s="21" t="s">
        <v>204</v>
      </c>
      <c r="G14" s="21" t="s">
        <v>204</v>
      </c>
      <c r="H14" s="21" t="s">
        <v>205</v>
      </c>
      <c r="I14" s="21" t="s">
        <v>204</v>
      </c>
      <c r="J14" s="21" t="s">
        <v>204</v>
      </c>
      <c r="K14" s="21" t="s">
        <v>205</v>
      </c>
      <c r="L14" s="21" t="s">
        <v>205</v>
      </c>
      <c r="M14" s="21" t="s">
        <v>205</v>
      </c>
      <c r="N14" s="96">
        <v>0.28110000000000002</v>
      </c>
      <c r="O14" s="21" t="s">
        <v>192</v>
      </c>
      <c r="P14" s="21" t="s">
        <v>204</v>
      </c>
      <c r="Q14" s="21" t="s">
        <v>209</v>
      </c>
      <c r="R14" s="21" t="s">
        <v>205</v>
      </c>
      <c r="S14" s="21" t="s">
        <v>207</v>
      </c>
    </row>
    <row r="15" spans="1:24" ht="15.5" x14ac:dyDescent="0.35">
      <c r="A15" s="37"/>
      <c r="B15" s="37"/>
      <c r="C15" s="31"/>
      <c r="D15" s="23">
        <f>ROUND('Monthly Revenue Req.(EE&amp;C-1_p2)'!D75,V$1)</f>
        <v>230856788.93000001</v>
      </c>
      <c r="E15" s="23"/>
      <c r="F15" s="31"/>
      <c r="G15" s="23">
        <f>ROUND('Monthly Revenue Req.(EE&amp;C-1_p2)'!G75,V$1)</f>
        <v>11471744.039999999</v>
      </c>
      <c r="H15" s="31"/>
      <c r="I15" s="31"/>
      <c r="J15" s="23">
        <f>ROUND('Monthly Revenue Req.(EE&amp;C-1_p2)'!J75,V$1)</f>
        <v>242328532.97</v>
      </c>
      <c r="K15" s="38"/>
      <c r="L15" s="23">
        <f>ROUND('Monthly Revenue Req.(EE&amp;C-1_p2)'!L75,V$1)</f>
        <v>66706592.280000001</v>
      </c>
      <c r="M15" s="31"/>
      <c r="N15" s="31"/>
      <c r="O15" s="23">
        <f>ROUND('Monthly Revenue Req.(EE&amp;C-1_p2)'!O75,V$1)</f>
        <v>49367327.07</v>
      </c>
      <c r="P15" s="38"/>
      <c r="Q15" s="31"/>
      <c r="R15" s="31"/>
      <c r="S15" s="31"/>
    </row>
    <row r="16" spans="1:24" ht="15.5" x14ac:dyDescent="0.35">
      <c r="A16" s="22" t="s">
        <v>168</v>
      </c>
      <c r="B16" s="37">
        <v>2026</v>
      </c>
      <c r="C16" s="23">
        <v>0</v>
      </c>
      <c r="D16" s="49">
        <f>+D15+C16</f>
        <v>230856788.93000001</v>
      </c>
      <c r="E16" s="23">
        <f>+ROUND(D16/10/12,V$1)</f>
        <v>1923806.57</v>
      </c>
      <c r="F16" s="23">
        <v>0</v>
      </c>
      <c r="G16" s="24">
        <f>+G15+F16</f>
        <v>11471744.039999999</v>
      </c>
      <c r="H16" s="110">
        <v>22624.25</v>
      </c>
      <c r="I16" s="38">
        <f t="shared" ref="I16:I27" si="0">F16+C16</f>
        <v>0</v>
      </c>
      <c r="J16" s="24">
        <f>+J15+I16</f>
        <v>242328532.97</v>
      </c>
      <c r="K16" s="38">
        <f t="shared" ref="K16:K27" si="1">+H16+E16</f>
        <v>1946430.82</v>
      </c>
      <c r="L16" s="24">
        <f>+L15+K16</f>
        <v>68653023.099999994</v>
      </c>
      <c r="M16" s="38">
        <f>+I16</f>
        <v>0</v>
      </c>
      <c r="N16" s="38">
        <f>ROUND((M16-K16)*N$14,V$1)</f>
        <v>-547141.69999999995</v>
      </c>
      <c r="O16" s="24">
        <f>+O15+N16</f>
        <v>48820185.369999997</v>
      </c>
      <c r="P16" s="24">
        <f t="shared" ref="P16:P27" si="2">+J16-L16-O16</f>
        <v>124855324.5</v>
      </c>
      <c r="Q16" s="38">
        <f>ROUND(P16*$Q$12,V$1)</f>
        <v>949940.93</v>
      </c>
      <c r="R16" s="38">
        <v>0</v>
      </c>
      <c r="S16" s="38">
        <f t="shared" ref="S16:S26" si="3">+R16+Q16+K16</f>
        <v>2896371.75</v>
      </c>
      <c r="U16" s="77"/>
      <c r="W16" s="38"/>
      <c r="X16" s="8"/>
    </row>
    <row r="17" spans="1:24" ht="15.5" x14ac:dyDescent="0.35">
      <c r="A17" s="22" t="s">
        <v>169</v>
      </c>
      <c r="B17" s="37">
        <f t="shared" ref="B17:B21" si="4">+B16</f>
        <v>2026</v>
      </c>
      <c r="C17" s="24">
        <v>0</v>
      </c>
      <c r="D17" s="49">
        <f t="shared" ref="D17:D27" si="5">D16+C17</f>
        <v>230856788.93000001</v>
      </c>
      <c r="E17" s="24">
        <f t="shared" ref="E17:E26" si="6">+ROUND(D17/10/12,V$1)</f>
        <v>1923806.57</v>
      </c>
      <c r="F17" s="24">
        <v>0</v>
      </c>
      <c r="G17" s="36">
        <f t="shared" ref="G17:G25" si="7">G16+F17</f>
        <v>11471744.039999999</v>
      </c>
      <c r="H17" s="110">
        <v>7994.4800000000005</v>
      </c>
      <c r="I17" s="24">
        <f t="shared" si="0"/>
        <v>0</v>
      </c>
      <c r="J17" s="36">
        <f t="shared" ref="J17:J27" si="8">J16+I17</f>
        <v>242328532.97</v>
      </c>
      <c r="K17" s="24">
        <f t="shared" si="1"/>
        <v>1931801.05</v>
      </c>
      <c r="L17" s="36">
        <f t="shared" ref="L17:L27" si="9">K17+L16</f>
        <v>70584824.149999991</v>
      </c>
      <c r="M17" s="24">
        <f t="shared" ref="M17:M27" si="10">+I17</f>
        <v>0</v>
      </c>
      <c r="N17" s="24">
        <f>ROUND((M17-K17)*N$14,V$1)</f>
        <v>-543029.28</v>
      </c>
      <c r="O17" s="36">
        <f t="shared" ref="O17:O27" si="11">O16+N17</f>
        <v>48277156.089999996</v>
      </c>
      <c r="P17" s="36">
        <f t="shared" si="2"/>
        <v>123466552.72999999</v>
      </c>
      <c r="Q17" s="24">
        <f t="shared" ref="Q17:Q27" si="12">ROUND(P17*$Q$12,2)</f>
        <v>939374.69</v>
      </c>
      <c r="R17" s="24">
        <v>0</v>
      </c>
      <c r="S17" s="24">
        <f t="shared" si="3"/>
        <v>2871175.74</v>
      </c>
      <c r="U17" s="77"/>
      <c r="W17" s="24"/>
      <c r="X17" s="8"/>
    </row>
    <row r="18" spans="1:24" ht="15.5" x14ac:dyDescent="0.35">
      <c r="A18" s="22" t="s">
        <v>170</v>
      </c>
      <c r="B18" s="37">
        <f t="shared" si="4"/>
        <v>2026</v>
      </c>
      <c r="C18" s="24">
        <v>0</v>
      </c>
      <c r="D18" s="49">
        <f t="shared" si="5"/>
        <v>230856788.93000001</v>
      </c>
      <c r="E18" s="24">
        <f t="shared" si="6"/>
        <v>1923806.57</v>
      </c>
      <c r="F18" s="24">
        <v>0</v>
      </c>
      <c r="G18" s="36">
        <f t="shared" si="7"/>
        <v>11471744.039999999</v>
      </c>
      <c r="H18" s="110">
        <v>205.37</v>
      </c>
      <c r="I18" s="24">
        <f t="shared" si="0"/>
        <v>0</v>
      </c>
      <c r="J18" s="36">
        <f t="shared" si="8"/>
        <v>242328532.97</v>
      </c>
      <c r="K18" s="24">
        <f t="shared" si="1"/>
        <v>1924011.9400000002</v>
      </c>
      <c r="L18" s="36">
        <f t="shared" si="9"/>
        <v>72508836.089999989</v>
      </c>
      <c r="M18" s="24">
        <f t="shared" si="10"/>
        <v>0</v>
      </c>
      <c r="N18" s="24">
        <f>ROUND((M18-K18)*N$14,V$1)</f>
        <v>-540839.76</v>
      </c>
      <c r="O18" s="36">
        <f t="shared" si="11"/>
        <v>47736316.329999998</v>
      </c>
      <c r="P18" s="36">
        <f t="shared" si="2"/>
        <v>122083380.55</v>
      </c>
      <c r="Q18" s="24">
        <f t="shared" si="12"/>
        <v>928851.05</v>
      </c>
      <c r="R18" s="24">
        <v>0</v>
      </c>
      <c r="S18" s="24">
        <f t="shared" si="3"/>
        <v>2852862.99</v>
      </c>
      <c r="U18" s="77"/>
      <c r="W18" s="24"/>
      <c r="X18" s="8"/>
    </row>
    <row r="19" spans="1:24" ht="15.5" x14ac:dyDescent="0.35">
      <c r="A19" s="22" t="s">
        <v>171</v>
      </c>
      <c r="B19" s="37">
        <f t="shared" si="4"/>
        <v>2026</v>
      </c>
      <c r="C19" s="24">
        <v>0</v>
      </c>
      <c r="D19" s="49">
        <f t="shared" si="5"/>
        <v>230856788.93000001</v>
      </c>
      <c r="E19" s="24">
        <f t="shared" si="6"/>
        <v>1923806.57</v>
      </c>
      <c r="F19" s="24">
        <v>0</v>
      </c>
      <c r="G19" s="36">
        <f t="shared" si="7"/>
        <v>11471744.039999999</v>
      </c>
      <c r="H19" s="110">
        <v>205.35</v>
      </c>
      <c r="I19" s="24">
        <f t="shared" si="0"/>
        <v>0</v>
      </c>
      <c r="J19" s="36">
        <f t="shared" si="8"/>
        <v>242328532.97</v>
      </c>
      <c r="K19" s="24">
        <f t="shared" si="1"/>
        <v>1924011.9200000002</v>
      </c>
      <c r="L19" s="36">
        <f t="shared" si="9"/>
        <v>74432848.00999999</v>
      </c>
      <c r="M19" s="24">
        <f t="shared" si="10"/>
        <v>0</v>
      </c>
      <c r="N19" s="24">
        <f t="shared" ref="N19:N27" si="13">ROUND((M19-K19)*N$14,V$1)</f>
        <v>-540839.75</v>
      </c>
      <c r="O19" s="36">
        <f t="shared" si="11"/>
        <v>47195476.579999998</v>
      </c>
      <c r="P19" s="36">
        <f t="shared" si="2"/>
        <v>120700208.38000001</v>
      </c>
      <c r="Q19" s="24">
        <f t="shared" si="12"/>
        <v>918327.42</v>
      </c>
      <c r="R19" s="24">
        <v>0</v>
      </c>
      <c r="S19" s="24">
        <f t="shared" si="3"/>
        <v>2842339.3400000003</v>
      </c>
      <c r="U19" s="77"/>
      <c r="W19" s="24"/>
      <c r="X19" s="8"/>
    </row>
    <row r="20" spans="1:24" ht="15.5" x14ac:dyDescent="0.35">
      <c r="A20" s="22" t="s">
        <v>172</v>
      </c>
      <c r="B20" s="37">
        <f t="shared" si="4"/>
        <v>2026</v>
      </c>
      <c r="C20" s="24">
        <v>0</v>
      </c>
      <c r="D20" s="49">
        <f t="shared" si="5"/>
        <v>230856788.93000001</v>
      </c>
      <c r="E20" s="24">
        <f t="shared" si="6"/>
        <v>1923806.57</v>
      </c>
      <c r="F20" s="24">
        <v>0</v>
      </c>
      <c r="G20" s="36">
        <f t="shared" si="7"/>
        <v>11471744.039999999</v>
      </c>
      <c r="H20" s="110">
        <v>0</v>
      </c>
      <c r="I20" s="24">
        <f t="shared" si="0"/>
        <v>0</v>
      </c>
      <c r="J20" s="36">
        <f t="shared" si="8"/>
        <v>242328532.97</v>
      </c>
      <c r="K20" s="24">
        <f t="shared" si="1"/>
        <v>1923806.57</v>
      </c>
      <c r="L20" s="36">
        <f t="shared" si="9"/>
        <v>76356654.579999983</v>
      </c>
      <c r="M20" s="24">
        <f t="shared" si="10"/>
        <v>0</v>
      </c>
      <c r="N20" s="24">
        <f t="shared" si="13"/>
        <v>-540782.03</v>
      </c>
      <c r="O20" s="36">
        <f t="shared" si="11"/>
        <v>46654694.549999997</v>
      </c>
      <c r="P20" s="36">
        <f t="shared" si="2"/>
        <v>119317183.84000002</v>
      </c>
      <c r="Q20" s="24">
        <f t="shared" si="12"/>
        <v>907804.91</v>
      </c>
      <c r="R20" s="24">
        <v>0</v>
      </c>
      <c r="S20" s="24">
        <f t="shared" si="3"/>
        <v>2831611.48</v>
      </c>
      <c r="U20" s="77"/>
      <c r="W20" s="24"/>
      <c r="X20" s="8"/>
    </row>
    <row r="21" spans="1:24" ht="15.5" x14ac:dyDescent="0.35">
      <c r="A21" s="22" t="s">
        <v>173</v>
      </c>
      <c r="B21" s="37">
        <f t="shared" si="4"/>
        <v>2026</v>
      </c>
      <c r="C21" s="24">
        <v>0</v>
      </c>
      <c r="D21" s="95">
        <f t="shared" si="5"/>
        <v>230856788.93000001</v>
      </c>
      <c r="E21" s="24">
        <f t="shared" si="6"/>
        <v>1923806.57</v>
      </c>
      <c r="F21" s="24">
        <v>0</v>
      </c>
      <c r="G21" s="24">
        <f t="shared" si="7"/>
        <v>11471744.039999999</v>
      </c>
      <c r="H21" s="110">
        <v>0</v>
      </c>
      <c r="I21" s="25">
        <f t="shared" si="0"/>
        <v>0</v>
      </c>
      <c r="J21" s="24">
        <f t="shared" si="8"/>
        <v>242328532.97</v>
      </c>
      <c r="K21" s="25">
        <f t="shared" si="1"/>
        <v>1923806.57</v>
      </c>
      <c r="L21" s="24">
        <f t="shared" si="9"/>
        <v>78280461.149999976</v>
      </c>
      <c r="M21" s="25">
        <f t="shared" si="10"/>
        <v>0</v>
      </c>
      <c r="N21" s="25">
        <f t="shared" si="13"/>
        <v>-540782.03</v>
      </c>
      <c r="O21" s="24">
        <f t="shared" si="11"/>
        <v>46113912.519999996</v>
      </c>
      <c r="P21" s="24">
        <f t="shared" si="2"/>
        <v>117934159.30000003</v>
      </c>
      <c r="Q21" s="24">
        <f t="shared" si="12"/>
        <v>897282.4</v>
      </c>
      <c r="R21" s="24">
        <v>0</v>
      </c>
      <c r="S21" s="25">
        <f t="shared" si="3"/>
        <v>2821088.97</v>
      </c>
      <c r="U21" s="77"/>
      <c r="W21" s="24"/>
      <c r="X21" s="8"/>
    </row>
    <row r="22" spans="1:24" ht="15.5" x14ac:dyDescent="0.35">
      <c r="A22" s="22" t="s">
        <v>162</v>
      </c>
      <c r="B22" s="37">
        <v>2027</v>
      </c>
      <c r="C22" s="24">
        <v>0</v>
      </c>
      <c r="D22" s="95">
        <f t="shared" si="5"/>
        <v>230856788.93000001</v>
      </c>
      <c r="E22" s="24">
        <f t="shared" si="6"/>
        <v>1923806.57</v>
      </c>
      <c r="F22" s="24">
        <v>0</v>
      </c>
      <c r="G22" s="24">
        <f t="shared" si="7"/>
        <v>11471744.039999999</v>
      </c>
      <c r="H22" s="110">
        <f t="shared" ref="H22:H27" si="14">H21</f>
        <v>0</v>
      </c>
      <c r="I22" s="25">
        <f t="shared" si="0"/>
        <v>0</v>
      </c>
      <c r="J22" s="24">
        <f t="shared" si="8"/>
        <v>242328532.97</v>
      </c>
      <c r="K22" s="25">
        <f t="shared" si="1"/>
        <v>1923806.57</v>
      </c>
      <c r="L22" s="24">
        <f t="shared" si="9"/>
        <v>80204267.719999969</v>
      </c>
      <c r="M22" s="25">
        <f t="shared" si="10"/>
        <v>0</v>
      </c>
      <c r="N22" s="25">
        <f t="shared" si="13"/>
        <v>-540782.03</v>
      </c>
      <c r="O22" s="24">
        <f t="shared" si="11"/>
        <v>45573130.489999995</v>
      </c>
      <c r="P22" s="24">
        <f t="shared" si="2"/>
        <v>116551134.76000004</v>
      </c>
      <c r="Q22" s="24">
        <f t="shared" si="12"/>
        <v>886759.88</v>
      </c>
      <c r="R22" s="24">
        <v>0</v>
      </c>
      <c r="S22" s="25">
        <f t="shared" si="3"/>
        <v>2810566.45</v>
      </c>
      <c r="U22" s="77"/>
      <c r="W22" s="24"/>
      <c r="X22" s="8"/>
    </row>
    <row r="23" spans="1:24" ht="15.5" x14ac:dyDescent="0.35">
      <c r="A23" s="22" t="s">
        <v>163</v>
      </c>
      <c r="B23" s="37">
        <f>+B22</f>
        <v>2027</v>
      </c>
      <c r="C23" s="24">
        <v>0</v>
      </c>
      <c r="D23" s="95">
        <f t="shared" si="5"/>
        <v>230856788.93000001</v>
      </c>
      <c r="E23" s="24">
        <f t="shared" si="6"/>
        <v>1923806.57</v>
      </c>
      <c r="F23" s="24">
        <v>0</v>
      </c>
      <c r="G23" s="24">
        <f t="shared" si="7"/>
        <v>11471744.039999999</v>
      </c>
      <c r="H23" s="110">
        <f t="shared" si="14"/>
        <v>0</v>
      </c>
      <c r="I23" s="25">
        <f t="shared" si="0"/>
        <v>0</v>
      </c>
      <c r="J23" s="24">
        <f t="shared" si="8"/>
        <v>242328532.97</v>
      </c>
      <c r="K23" s="25">
        <f t="shared" si="1"/>
        <v>1923806.57</v>
      </c>
      <c r="L23" s="24">
        <f t="shared" si="9"/>
        <v>82128074.289999962</v>
      </c>
      <c r="M23" s="25">
        <f t="shared" si="10"/>
        <v>0</v>
      </c>
      <c r="N23" s="25">
        <f t="shared" si="13"/>
        <v>-540782.03</v>
      </c>
      <c r="O23" s="24">
        <f t="shared" si="11"/>
        <v>45032348.459999993</v>
      </c>
      <c r="P23" s="24">
        <f t="shared" si="2"/>
        <v>115168110.22000004</v>
      </c>
      <c r="Q23" s="24">
        <f t="shared" si="12"/>
        <v>876237.37</v>
      </c>
      <c r="R23" s="24">
        <v>0</v>
      </c>
      <c r="S23" s="25">
        <f t="shared" si="3"/>
        <v>2800043.94</v>
      </c>
      <c r="U23" s="77"/>
      <c r="W23" s="24"/>
      <c r="X23" s="8"/>
    </row>
    <row r="24" spans="1:24" ht="15.5" x14ac:dyDescent="0.35">
      <c r="A24" s="22" t="s">
        <v>164</v>
      </c>
      <c r="B24" s="37">
        <f>+B23</f>
        <v>2027</v>
      </c>
      <c r="C24" s="24">
        <v>0</v>
      </c>
      <c r="D24" s="95">
        <f t="shared" si="5"/>
        <v>230856788.93000001</v>
      </c>
      <c r="E24" s="24">
        <f t="shared" si="6"/>
        <v>1923806.57</v>
      </c>
      <c r="F24" s="24">
        <v>0</v>
      </c>
      <c r="G24" s="24">
        <f t="shared" si="7"/>
        <v>11471744.039999999</v>
      </c>
      <c r="H24" s="110">
        <f t="shared" si="14"/>
        <v>0</v>
      </c>
      <c r="I24" s="25">
        <f t="shared" si="0"/>
        <v>0</v>
      </c>
      <c r="J24" s="24">
        <f t="shared" si="8"/>
        <v>242328532.97</v>
      </c>
      <c r="K24" s="25">
        <f t="shared" si="1"/>
        <v>1923806.57</v>
      </c>
      <c r="L24" s="24">
        <f t="shared" si="9"/>
        <v>84051880.859999955</v>
      </c>
      <c r="M24" s="25">
        <f t="shared" si="10"/>
        <v>0</v>
      </c>
      <c r="N24" s="25">
        <f t="shared" si="13"/>
        <v>-540782.03</v>
      </c>
      <c r="O24" s="24">
        <f t="shared" si="11"/>
        <v>44491566.429999992</v>
      </c>
      <c r="P24" s="24">
        <f t="shared" si="2"/>
        <v>113785085.68000005</v>
      </c>
      <c r="Q24" s="24">
        <f t="shared" si="12"/>
        <v>865714.86</v>
      </c>
      <c r="R24" s="24">
        <v>0</v>
      </c>
      <c r="S24" s="25">
        <f t="shared" si="3"/>
        <v>2789521.43</v>
      </c>
      <c r="U24" s="77"/>
      <c r="W24" s="24"/>
      <c r="X24" s="8"/>
    </row>
    <row r="25" spans="1:24" ht="15.5" x14ac:dyDescent="0.35">
      <c r="A25" s="22" t="s">
        <v>165</v>
      </c>
      <c r="B25" s="37">
        <f>+B24</f>
        <v>2027</v>
      </c>
      <c r="C25" s="24">
        <v>0</v>
      </c>
      <c r="D25" s="95">
        <f t="shared" si="5"/>
        <v>230856788.93000001</v>
      </c>
      <c r="E25" s="24">
        <f t="shared" si="6"/>
        <v>1923806.57</v>
      </c>
      <c r="F25" s="24">
        <v>0</v>
      </c>
      <c r="G25" s="24">
        <f t="shared" si="7"/>
        <v>11471744.039999999</v>
      </c>
      <c r="H25" s="110">
        <f t="shared" si="14"/>
        <v>0</v>
      </c>
      <c r="I25" s="25">
        <f t="shared" si="0"/>
        <v>0</v>
      </c>
      <c r="J25" s="24">
        <f t="shared" si="8"/>
        <v>242328532.97</v>
      </c>
      <c r="K25" s="25">
        <f t="shared" si="1"/>
        <v>1923806.57</v>
      </c>
      <c r="L25" s="24">
        <f t="shared" si="9"/>
        <v>85975687.429999948</v>
      </c>
      <c r="M25" s="25">
        <f t="shared" si="10"/>
        <v>0</v>
      </c>
      <c r="N25" s="25">
        <f t="shared" si="13"/>
        <v>-540782.03</v>
      </c>
      <c r="O25" s="24">
        <f t="shared" si="11"/>
        <v>43950784.399999991</v>
      </c>
      <c r="P25" s="24">
        <f t="shared" si="2"/>
        <v>112402061.14000006</v>
      </c>
      <c r="Q25" s="24">
        <f t="shared" si="12"/>
        <v>855192.35</v>
      </c>
      <c r="R25" s="24">
        <v>0</v>
      </c>
      <c r="S25" s="25">
        <f t="shared" si="3"/>
        <v>2778998.92</v>
      </c>
      <c r="U25" s="77"/>
      <c r="W25" s="24"/>
      <c r="X25" s="8"/>
    </row>
    <row r="26" spans="1:24" ht="15.5" x14ac:dyDescent="0.35">
      <c r="A26" s="22" t="s">
        <v>166</v>
      </c>
      <c r="B26" s="37">
        <f>+B25</f>
        <v>2027</v>
      </c>
      <c r="C26" s="24">
        <v>0</v>
      </c>
      <c r="D26" s="95">
        <f t="shared" si="5"/>
        <v>230856788.93000001</v>
      </c>
      <c r="E26" s="24">
        <f t="shared" si="6"/>
        <v>1923806.57</v>
      </c>
      <c r="F26" s="24">
        <v>0</v>
      </c>
      <c r="G26" s="24">
        <f t="shared" ref="G26:G27" si="15">G25+F26</f>
        <v>11471744.039999999</v>
      </c>
      <c r="H26" s="110">
        <f t="shared" si="14"/>
        <v>0</v>
      </c>
      <c r="I26" s="25">
        <f t="shared" si="0"/>
        <v>0</v>
      </c>
      <c r="J26" s="24">
        <f t="shared" si="8"/>
        <v>242328532.97</v>
      </c>
      <c r="K26" s="25">
        <f t="shared" si="1"/>
        <v>1923806.57</v>
      </c>
      <c r="L26" s="24">
        <f t="shared" si="9"/>
        <v>87899493.99999994</v>
      </c>
      <c r="M26" s="25">
        <f t="shared" si="10"/>
        <v>0</v>
      </c>
      <c r="N26" s="25">
        <f t="shared" si="13"/>
        <v>-540782.03</v>
      </c>
      <c r="O26" s="24">
        <f t="shared" si="11"/>
        <v>43410002.36999999</v>
      </c>
      <c r="P26" s="24">
        <f t="shared" si="2"/>
        <v>111019036.60000007</v>
      </c>
      <c r="Q26" s="24">
        <f t="shared" si="12"/>
        <v>844669.84</v>
      </c>
      <c r="R26" s="24">
        <v>0</v>
      </c>
      <c r="S26" s="25">
        <f t="shared" si="3"/>
        <v>2768476.41</v>
      </c>
      <c r="U26" s="77"/>
      <c r="W26" s="24"/>
      <c r="X26" s="8"/>
    </row>
    <row r="27" spans="1:24" ht="15.5" x14ac:dyDescent="0.35">
      <c r="A27" s="22" t="s">
        <v>167</v>
      </c>
      <c r="B27" s="37">
        <f>+B26</f>
        <v>2027</v>
      </c>
      <c r="C27" s="24">
        <v>0</v>
      </c>
      <c r="D27" s="95">
        <f t="shared" si="5"/>
        <v>230856788.93000001</v>
      </c>
      <c r="E27" s="24">
        <f>+ROUND(D27/10/12,V$1)</f>
        <v>1923806.57</v>
      </c>
      <c r="F27" s="24">
        <v>0</v>
      </c>
      <c r="G27" s="24">
        <f t="shared" si="15"/>
        <v>11471744.039999999</v>
      </c>
      <c r="H27" s="110">
        <f t="shared" si="14"/>
        <v>0</v>
      </c>
      <c r="I27" s="25">
        <f t="shared" si="0"/>
        <v>0</v>
      </c>
      <c r="J27" s="24">
        <f t="shared" si="8"/>
        <v>242328532.97</v>
      </c>
      <c r="K27" s="25">
        <f t="shared" si="1"/>
        <v>1923806.57</v>
      </c>
      <c r="L27" s="24">
        <f t="shared" si="9"/>
        <v>89823300.569999933</v>
      </c>
      <c r="M27" s="25">
        <f t="shared" si="10"/>
        <v>0</v>
      </c>
      <c r="N27" s="25">
        <f t="shared" si="13"/>
        <v>-540782.03</v>
      </c>
      <c r="O27" s="24">
        <f t="shared" si="11"/>
        <v>42869220.339999989</v>
      </c>
      <c r="P27" s="24">
        <f t="shared" si="2"/>
        <v>109636012.06000008</v>
      </c>
      <c r="Q27" s="24">
        <f t="shared" si="12"/>
        <v>834147.33</v>
      </c>
      <c r="R27" s="24">
        <v>0</v>
      </c>
      <c r="S27" s="25">
        <f>+R27+Q27+K27</f>
        <v>2757953.9</v>
      </c>
      <c r="U27" s="77"/>
      <c r="W27" s="24"/>
      <c r="X27" s="8"/>
    </row>
    <row r="28" spans="1:24" ht="16" thickBot="1" x14ac:dyDescent="0.4">
      <c r="A28" s="37" t="s">
        <v>149</v>
      </c>
      <c r="B28" s="37"/>
      <c r="C28" s="255">
        <f>SUM(C16:C27)</f>
        <v>0</v>
      </c>
      <c r="D28" s="38"/>
      <c r="E28" s="255">
        <f>SUM(E16:E27)</f>
        <v>23085678.84</v>
      </c>
      <c r="F28" s="255">
        <f>SUM(F16:F27)</f>
        <v>0</v>
      </c>
      <c r="G28" s="31"/>
      <c r="H28" s="255">
        <f>SUM(H16:H27)</f>
        <v>31029.449999999997</v>
      </c>
      <c r="I28" s="255">
        <f>SUM(I16:I27)</f>
        <v>0</v>
      </c>
      <c r="J28" s="38"/>
      <c r="K28" s="256">
        <f>SUM(K16:K27)</f>
        <v>23116708.290000003</v>
      </c>
      <c r="L28" s="38"/>
      <c r="M28" s="255">
        <f>SUM(M16:M27)</f>
        <v>0</v>
      </c>
      <c r="N28" s="255">
        <f>(M28-K28)*0.2811</f>
        <v>-6498106.7003190015</v>
      </c>
      <c r="O28" s="38"/>
      <c r="P28" s="36"/>
      <c r="Q28" s="255">
        <f>SUM(Q16:Q27)</f>
        <v>10704303.030000001</v>
      </c>
      <c r="R28" s="256">
        <f>SUM(R16:R27)</f>
        <v>0</v>
      </c>
      <c r="S28" s="256">
        <f>SUM(S16:S27)</f>
        <v>33821011.32</v>
      </c>
      <c r="U28" s="77"/>
      <c r="W28" s="24"/>
      <c r="X28" s="8"/>
    </row>
    <row r="29" spans="1:24" ht="16" thickTop="1" x14ac:dyDescent="0.35">
      <c r="A29" s="22"/>
      <c r="B29" s="22"/>
      <c r="C29" s="24"/>
      <c r="D29" s="49"/>
      <c r="E29" s="24"/>
      <c r="F29" s="24"/>
      <c r="G29" s="36"/>
      <c r="H29" s="36"/>
      <c r="I29" s="24"/>
      <c r="J29" s="36"/>
      <c r="K29" s="24"/>
      <c r="L29" s="36"/>
      <c r="M29" s="111"/>
      <c r="N29" s="24"/>
      <c r="O29" s="36"/>
      <c r="P29" s="36"/>
      <c r="Q29" s="24"/>
      <c r="R29" s="24"/>
      <c r="S29" s="24"/>
    </row>
    <row r="30" spans="1:24" x14ac:dyDescent="0.35">
      <c r="F30" s="8"/>
    </row>
    <row r="31" spans="1:24" ht="15.5" x14ac:dyDescent="0.35">
      <c r="A31" s="22"/>
      <c r="B31" s="37"/>
      <c r="F31" s="8"/>
    </row>
    <row r="32" spans="1:24" ht="15.5" x14ac:dyDescent="0.35">
      <c r="A32" s="22"/>
      <c r="B32" s="37"/>
      <c r="F32" s="8"/>
    </row>
    <row r="33" spans="1:15" ht="15.5" x14ac:dyDescent="0.35">
      <c r="A33" s="22"/>
      <c r="B33" s="37"/>
      <c r="D33" s="8"/>
      <c r="F33" s="8"/>
      <c r="G33" s="8"/>
      <c r="H33" s="13"/>
      <c r="J33" s="12"/>
      <c r="L33" s="12"/>
      <c r="O33" s="12"/>
    </row>
    <row r="34" spans="1:15" ht="15.5" x14ac:dyDescent="0.35">
      <c r="A34" s="22"/>
      <c r="B34" s="37"/>
      <c r="D34" s="13"/>
      <c r="F34" s="8"/>
    </row>
    <row r="35" spans="1:15" ht="15.5" x14ac:dyDescent="0.35">
      <c r="A35" s="22"/>
      <c r="B35" s="37"/>
      <c r="D35" s="13"/>
      <c r="F35" s="8"/>
      <c r="G35" s="159"/>
      <c r="J35" s="12"/>
      <c r="L35" s="12"/>
      <c r="O35" s="12"/>
    </row>
    <row r="36" spans="1:15" ht="15.5" x14ac:dyDescent="0.35">
      <c r="A36" s="22"/>
      <c r="B36" s="37"/>
      <c r="F36" s="8"/>
      <c r="J36" s="12"/>
      <c r="L36" s="12"/>
      <c r="O36" s="12"/>
    </row>
    <row r="37" spans="1:15" ht="15.5" x14ac:dyDescent="0.35">
      <c r="A37" s="22"/>
      <c r="B37" s="37"/>
      <c r="F37" s="8"/>
      <c r="G37" s="159"/>
    </row>
    <row r="38" spans="1:15" ht="15.5" x14ac:dyDescent="0.35">
      <c r="A38" s="22"/>
      <c r="B38" s="37"/>
      <c r="F38" s="8"/>
    </row>
    <row r="39" spans="1:15" ht="15.5" x14ac:dyDescent="0.35">
      <c r="A39" s="22"/>
      <c r="B39" s="37"/>
      <c r="F39" s="8"/>
    </row>
    <row r="40" spans="1:15" ht="15.5" x14ac:dyDescent="0.35">
      <c r="A40" s="22"/>
      <c r="B40" s="37"/>
      <c r="F40" s="8"/>
    </row>
    <row r="41" spans="1:15" ht="15.5" x14ac:dyDescent="0.35">
      <c r="A41" s="22"/>
      <c r="B41" s="37"/>
      <c r="F41" s="8"/>
    </row>
    <row r="42" spans="1:15" ht="15.5" x14ac:dyDescent="0.35">
      <c r="A42" s="22"/>
      <c r="B42" s="37"/>
    </row>
    <row r="43" spans="1:15" ht="15.5" x14ac:dyDescent="0.35">
      <c r="A43" s="22"/>
      <c r="B43" s="37"/>
    </row>
    <row r="44" spans="1:15" ht="15.5" x14ac:dyDescent="0.35">
      <c r="A44" s="22"/>
      <c r="B44" s="37"/>
    </row>
    <row r="45" spans="1:15" ht="15.5" x14ac:dyDescent="0.35">
      <c r="A45" s="22"/>
      <c r="B45" s="37"/>
    </row>
    <row r="46" spans="1:15" ht="15.5" x14ac:dyDescent="0.35">
      <c r="A46" s="22"/>
      <c r="B46" s="37"/>
    </row>
    <row r="47" spans="1:15" ht="15.5" x14ac:dyDescent="0.35">
      <c r="A47" s="22"/>
      <c r="B47" s="37"/>
    </row>
    <row r="48" spans="1:15" ht="15.5" x14ac:dyDescent="0.35">
      <c r="A48" s="22"/>
      <c r="B48" s="37"/>
    </row>
  </sheetData>
  <printOptions horizontalCentered="1"/>
  <pageMargins left="0.1" right="0.1" top="0.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FE67-6822-43C4-84C8-4D4D4239D76B}">
  <sheetPr codeName="Sheet7">
    <tabColor rgb="FFFFFF00"/>
    <pageSetUpPr fitToPage="1"/>
  </sheetPr>
  <dimension ref="A1:X51"/>
  <sheetViews>
    <sheetView view="pageBreakPreview" zoomScaleNormal="100" zoomScaleSheetLayoutView="100" workbookViewId="0">
      <selection activeCell="I21" sqref="I21"/>
    </sheetView>
  </sheetViews>
  <sheetFormatPr defaultRowHeight="14.5" x14ac:dyDescent="0.35"/>
  <cols>
    <col min="1" max="1" width="4.81640625" bestFit="1" customWidth="1"/>
    <col min="2" max="2" width="68.1796875" customWidth="1"/>
    <col min="3" max="3" width="20.453125" bestFit="1" customWidth="1"/>
    <col min="6" max="6" width="15.26953125" bestFit="1" customWidth="1"/>
    <col min="8" max="8" width="14.26953125" bestFit="1" customWidth="1"/>
    <col min="14" max="14" width="10.7265625" customWidth="1"/>
    <col min="16" max="17" width="14" bestFit="1" customWidth="1"/>
    <col min="24" max="24" width="10" bestFit="1" customWidth="1"/>
  </cols>
  <sheetData>
    <row r="1" spans="1:17" ht="18.5" x14ac:dyDescent="0.45">
      <c r="C1" s="113" t="s">
        <v>145</v>
      </c>
    </row>
    <row r="2" spans="1:17" ht="18.5" x14ac:dyDescent="0.45">
      <c r="C2" s="113" t="s">
        <v>271</v>
      </c>
    </row>
    <row r="4" spans="1:17" ht="18.5" x14ac:dyDescent="0.35">
      <c r="A4" s="340" t="s">
        <v>109</v>
      </c>
      <c r="B4" s="341"/>
      <c r="C4" s="341"/>
    </row>
    <row r="5" spans="1:17" ht="18.5" x14ac:dyDescent="0.35">
      <c r="A5" s="342" t="s">
        <v>272</v>
      </c>
      <c r="B5" s="341"/>
      <c r="C5" s="341"/>
    </row>
    <row r="6" spans="1:17" ht="18.5" x14ac:dyDescent="0.35">
      <c r="A6" s="342" t="s">
        <v>273</v>
      </c>
      <c r="B6" s="341"/>
      <c r="C6" s="341"/>
    </row>
    <row r="7" spans="1:17" ht="18.5" x14ac:dyDescent="0.35">
      <c r="A7" s="342" t="s">
        <v>274</v>
      </c>
      <c r="B7" s="341"/>
      <c r="C7" s="341"/>
    </row>
    <row r="8" spans="1:17" ht="18.5" x14ac:dyDescent="0.35">
      <c r="A8" s="342" t="str">
        <f>"Proposed EE&amp;C Rate "&amp;IF(C26&gt;0,"Increase","(Decrease)")</f>
        <v>Proposed EE&amp;C Rate Increase</v>
      </c>
      <c r="B8" s="341"/>
      <c r="C8" s="341"/>
    </row>
    <row r="9" spans="1:17" ht="18.5" x14ac:dyDescent="0.35">
      <c r="A9" s="342" t="s">
        <v>275</v>
      </c>
      <c r="B9" s="341"/>
      <c r="C9" s="341"/>
    </row>
    <row r="11" spans="1:17" ht="15.5" x14ac:dyDescent="0.35">
      <c r="A11" s="31"/>
      <c r="B11" s="31"/>
      <c r="C11" s="343" t="s">
        <v>112</v>
      </c>
    </row>
    <row r="12" spans="1:17" ht="15.5" x14ac:dyDescent="0.35">
      <c r="A12" s="20" t="s">
        <v>276</v>
      </c>
      <c r="B12" s="31"/>
      <c r="C12" s="344" t="s">
        <v>277</v>
      </c>
      <c r="Q12" s="20"/>
    </row>
    <row r="13" spans="1:17" ht="15.5" x14ac:dyDescent="0.35">
      <c r="A13" s="21" t="s">
        <v>278</v>
      </c>
      <c r="B13" s="345" t="s">
        <v>279</v>
      </c>
      <c r="C13" s="344" t="s">
        <v>280</v>
      </c>
      <c r="O13" s="20"/>
      <c r="P13" s="20"/>
      <c r="Q13" s="20"/>
    </row>
    <row r="14" spans="1:17" ht="15.5" x14ac:dyDescent="0.35">
      <c r="A14" s="37">
        <v>1</v>
      </c>
      <c r="B14" s="31" t="s">
        <v>281</v>
      </c>
      <c r="C14" s="108">
        <f>+'Projected Rev.Req (EE&amp;C-1_p4)'!K28</f>
        <v>23116708.290000003</v>
      </c>
      <c r="O14" s="22"/>
      <c r="P14" s="37"/>
      <c r="Q14" s="38"/>
    </row>
    <row r="15" spans="1:17" ht="15.5" x14ac:dyDescent="0.35">
      <c r="A15" s="37">
        <f>A14+1</f>
        <v>2</v>
      </c>
      <c r="B15" s="31" t="s">
        <v>282</v>
      </c>
      <c r="C15" s="109">
        <f>+'Projected Rev.Req (EE&amp;C-1_p4)'!Q28</f>
        <v>10704303.030000001</v>
      </c>
      <c r="O15" s="22"/>
      <c r="P15" s="37"/>
      <c r="Q15" s="346"/>
    </row>
    <row r="16" spans="1:17" ht="15.5" x14ac:dyDescent="0.35">
      <c r="A16" s="37">
        <f>A15+1</f>
        <v>3</v>
      </c>
      <c r="B16" s="31" t="s">
        <v>283</v>
      </c>
      <c r="C16" s="109">
        <f>+'Projected Rev.Req (EE&amp;C-1_p4)'!R28</f>
        <v>0</v>
      </c>
      <c r="O16" s="22"/>
      <c r="P16" s="37"/>
      <c r="Q16" s="346"/>
    </row>
    <row r="17" spans="1:24" ht="15.5" x14ac:dyDescent="0.35">
      <c r="A17" s="37">
        <f>A16+1</f>
        <v>4</v>
      </c>
      <c r="B17" s="112" t="s">
        <v>284</v>
      </c>
      <c r="C17" s="231">
        <f>SUM(C14:C16)</f>
        <v>33821011.320000008</v>
      </c>
      <c r="O17" s="22"/>
      <c r="P17" s="37"/>
      <c r="Q17" s="346"/>
    </row>
    <row r="18" spans="1:24" ht="31" x14ac:dyDescent="0.35">
      <c r="A18" s="347">
        <f>+A17+1</f>
        <v>5</v>
      </c>
      <c r="B18" s="348" t="s">
        <v>285</v>
      </c>
      <c r="C18" s="108">
        <f>-'Reconciliation (EE&amp;C-1_p3)'!O74</f>
        <v>46453637.299999997</v>
      </c>
      <c r="O18" s="22"/>
      <c r="P18" s="37"/>
      <c r="Q18" s="346"/>
    </row>
    <row r="19" spans="1:24" ht="16" thickBot="1" x14ac:dyDescent="0.4">
      <c r="A19" s="37">
        <f>A18+1</f>
        <v>6</v>
      </c>
      <c r="B19" s="112" t="s">
        <v>286</v>
      </c>
      <c r="C19" s="349">
        <f>SUM(C17:C18)</f>
        <v>80274648.620000005</v>
      </c>
      <c r="O19" s="22"/>
      <c r="P19" s="37"/>
      <c r="Q19" s="346"/>
    </row>
    <row r="20" spans="1:24" ht="16" thickTop="1" x14ac:dyDescent="0.35">
      <c r="A20" s="37"/>
      <c r="B20" s="112"/>
      <c r="C20" s="108"/>
      <c r="O20" s="22"/>
      <c r="P20" s="37"/>
      <c r="Q20" s="346"/>
    </row>
    <row r="21" spans="1:24" ht="15.5" x14ac:dyDescent="0.35">
      <c r="A21" s="37"/>
      <c r="B21" s="345" t="str">
        <f>"Calculation of Proposed "&amp;IF(C26&gt;0,"Increase","(Decrease)")&amp;" in Rider EE&amp;C"</f>
        <v>Calculation of Proposed Increase in Rider EE&amp;C</v>
      </c>
      <c r="C21" s="108"/>
      <c r="O21" s="22"/>
      <c r="P21" s="37"/>
      <c r="Q21" s="346"/>
    </row>
    <row r="22" spans="1:24" ht="15.5" x14ac:dyDescent="0.35">
      <c r="A22" s="37">
        <f>+A19+1</f>
        <v>7</v>
      </c>
      <c r="B22" s="31" t="str">
        <f>+B19</f>
        <v>Total Net Revenue Requirement - 7/1/26 - 6/30/27</v>
      </c>
      <c r="C22" s="108">
        <f>+C19</f>
        <v>80274648.620000005</v>
      </c>
      <c r="O22" s="22"/>
      <c r="P22" s="37"/>
      <c r="Q22" s="346"/>
    </row>
    <row r="23" spans="1:24" ht="15.5" x14ac:dyDescent="0.35">
      <c r="A23" s="37">
        <f>+A22+1</f>
        <v>8</v>
      </c>
      <c r="B23" s="31" t="s">
        <v>287</v>
      </c>
      <c r="C23" s="109">
        <f>ROUND('kWh Forecast'!E35/1000,3)</f>
        <v>19594100.021000002</v>
      </c>
      <c r="O23" s="22"/>
      <c r="P23" s="37"/>
      <c r="Q23" s="346"/>
    </row>
    <row r="24" spans="1:24" ht="31" x14ac:dyDescent="0.35">
      <c r="A24" s="347">
        <f>A23+1</f>
        <v>9</v>
      </c>
      <c r="B24" s="350" t="s">
        <v>288</v>
      </c>
      <c r="C24" s="351">
        <f>ROUND(C22/C23/1000,6)</f>
        <v>4.0969999999999999E-3</v>
      </c>
      <c r="O24" s="22"/>
      <c r="P24" s="37"/>
      <c r="Q24" s="346"/>
    </row>
    <row r="25" spans="1:24" ht="15.5" x14ac:dyDescent="0.35">
      <c r="A25" s="37">
        <f>A24+1</f>
        <v>10</v>
      </c>
      <c r="B25" s="112" t="s">
        <v>289</v>
      </c>
      <c r="C25" s="352">
        <v>9.2900000000000003E-4</v>
      </c>
      <c r="O25" s="22"/>
      <c r="P25" s="37"/>
      <c r="Q25" s="346"/>
    </row>
    <row r="26" spans="1:24" ht="31.5" thickBot="1" x14ac:dyDescent="0.4">
      <c r="A26" s="347">
        <f>A25+1</f>
        <v>11</v>
      </c>
      <c r="B26" s="350" t="s">
        <v>290</v>
      </c>
      <c r="C26" s="157">
        <f>+C24-C25</f>
        <v>3.1679999999999998E-3</v>
      </c>
      <c r="O26" s="37"/>
      <c r="P26" s="37"/>
      <c r="Q26" s="328"/>
      <c r="X26" s="353"/>
    </row>
    <row r="27" spans="1:24" ht="16" thickTop="1" x14ac:dyDescent="0.35">
      <c r="A27" s="37"/>
      <c r="B27" s="31"/>
      <c r="C27" s="354"/>
      <c r="X27" s="353"/>
    </row>
    <row r="28" spans="1:24" ht="16" thickBot="1" x14ac:dyDescent="0.4">
      <c r="A28" s="37">
        <f>+A26+1</f>
        <v>12</v>
      </c>
      <c r="B28" s="4" t="s">
        <v>291</v>
      </c>
      <c r="C28" s="355">
        <f>ROUND(C23*C26*1000,0)</f>
        <v>62074109</v>
      </c>
      <c r="X28" s="353"/>
    </row>
    <row r="29" spans="1:24" ht="15" thickTop="1" x14ac:dyDescent="0.35">
      <c r="C29" s="8"/>
    </row>
    <row r="30" spans="1:24" x14ac:dyDescent="0.35">
      <c r="C30" s="14"/>
      <c r="X30" s="8"/>
    </row>
    <row r="31" spans="1:24" ht="15.5" x14ac:dyDescent="0.35">
      <c r="B31" s="356" t="str">
        <f>"Proposed Rates, "&amp;A9</f>
        <v>Proposed Rates, Effective July 1, 2026</v>
      </c>
      <c r="C31" s="357"/>
    </row>
    <row r="32" spans="1:24" ht="16" thickBot="1" x14ac:dyDescent="0.4">
      <c r="A32" s="37">
        <f>+A28+1</f>
        <v>13</v>
      </c>
      <c r="B32" s="358" t="s">
        <v>292</v>
      </c>
      <c r="C32" s="157">
        <f>+C24</f>
        <v>4.0969999999999999E-3</v>
      </c>
    </row>
    <row r="33" spans="1:24" ht="16.5" thickTop="1" thickBot="1" x14ac:dyDescent="0.4">
      <c r="A33" s="37"/>
      <c r="B33" s="358"/>
      <c r="C33" s="359"/>
    </row>
    <row r="34" spans="1:24" ht="16.5" thickTop="1" thickBot="1" x14ac:dyDescent="0.4">
      <c r="A34" s="37">
        <f>+A32+1</f>
        <v>14</v>
      </c>
      <c r="B34" s="358" t="s">
        <v>293</v>
      </c>
      <c r="C34" s="157">
        <f>ROUND(C24*(1+0.06625),6)</f>
        <v>4.3680000000000004E-3</v>
      </c>
      <c r="X34" s="353"/>
    </row>
    <row r="35" spans="1:24" ht="16" thickTop="1" x14ac:dyDescent="0.35">
      <c r="A35" s="37"/>
      <c r="B35" s="358"/>
      <c r="C35" s="158"/>
      <c r="X35" s="353"/>
    </row>
    <row r="36" spans="1:24" ht="16" thickBot="1" x14ac:dyDescent="0.4">
      <c r="A36" s="37">
        <f>+A34+1</f>
        <v>15</v>
      </c>
      <c r="B36" s="358" t="s">
        <v>294</v>
      </c>
      <c r="C36" s="360">
        <f>ROUND(C$23*C32*1000,0)</f>
        <v>80277028</v>
      </c>
      <c r="X36" s="353"/>
    </row>
    <row r="37" spans="1:24" ht="15" thickTop="1" x14ac:dyDescent="0.35"/>
    <row r="38" spans="1:24" x14ac:dyDescent="0.35">
      <c r="C38" s="8"/>
      <c r="X38" s="8"/>
    </row>
    <row r="39" spans="1:24" x14ac:dyDescent="0.35">
      <c r="B39" t="s">
        <v>295</v>
      </c>
      <c r="C39" s="8">
        <f>C23*C25*1000</f>
        <v>18202918.919509001</v>
      </c>
    </row>
    <row r="40" spans="1:24" x14ac:dyDescent="0.35">
      <c r="B40" t="s">
        <v>296</v>
      </c>
      <c r="C40" s="75">
        <f>C23*1000*C24</f>
        <v>80277027.786036998</v>
      </c>
    </row>
    <row r="41" spans="1:24" x14ac:dyDescent="0.35">
      <c r="B41" t="s">
        <v>118</v>
      </c>
      <c r="C41" s="12">
        <f>C40-C39</f>
        <v>62074108.866527997</v>
      </c>
    </row>
    <row r="42" spans="1:24" x14ac:dyDescent="0.35">
      <c r="B42" t="s">
        <v>297</v>
      </c>
      <c r="C42" s="75">
        <v>35778393</v>
      </c>
    </row>
    <row r="43" spans="1:24" x14ac:dyDescent="0.35">
      <c r="B43" t="s">
        <v>298</v>
      </c>
      <c r="C43" s="12">
        <f>C41-C42</f>
        <v>26295715.866527997</v>
      </c>
      <c r="E43" s="287"/>
      <c r="H43" s="14"/>
    </row>
    <row r="44" spans="1:24" x14ac:dyDescent="0.35">
      <c r="F44" s="13"/>
      <c r="H44" s="14"/>
      <c r="I44" s="5"/>
    </row>
    <row r="45" spans="1:24" x14ac:dyDescent="0.35">
      <c r="C45" s="291"/>
    </row>
    <row r="47" spans="1:24" x14ac:dyDescent="0.35">
      <c r="C47" s="12"/>
      <c r="F47" s="13"/>
      <c r="H47" s="14"/>
    </row>
    <row r="50" spans="3:3" x14ac:dyDescent="0.35">
      <c r="C50" s="407"/>
    </row>
    <row r="51" spans="3:3" ht="15.5" x14ac:dyDescent="0.35">
      <c r="C51" s="158"/>
    </row>
  </sheetData>
  <printOptions horizontalCentered="1"/>
  <pageMargins left="0.25" right="0.25" top="0.75" bottom="0.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ason_x0020_For_x0020_HOLD xmlns="92f4ef6d-3abd-4018-9223-5900f694f37e" xsi:nil="true"/>
    <Mark_x0020_Mader xmlns="92f4ef6d-3abd-4018-9223-5900f694f37e">Approved</Mark_x0020_Mader>
    <Linker xmlns="92f4ef6d-3abd-4018-9223-5900f694f37e" xsi:nil="true"/>
    <Series xmlns="92f4ef6d-3abd-4018-9223-5900f694f37e">S-JCPL-RRC</Series>
    <Date_x0020_Received xmlns="92f4ef6d-3abd-4018-9223-5900f694f37e">2025-04-01T04:00:00+00:00</Date_x0020_Received>
    <Carol_x0020_Pittavino xmlns="92f4ef6d-3abd-4018-9223-5900f694f37e">For Your Review</Carol_x0020_Pittavino>
    <Status xmlns="92f4ef6d-3abd-4018-9223-5900f694f37e">In Process</Status>
    <Jen_x0020_Spricigo xmlns="92f4ef6d-3abd-4018-9223-5900f694f37e">For Your Review</Jen_x0020_Spricigo>
    <Jim_x0020_Meade xmlns="92f4ef6d-3abd-4018-9223-5900f694f37e">For Your Review</Jim_x0020_Meade>
    <E_x002d_mail_x0020_Submission_x0020_Date xmlns="92f4ef6d-3abd-4018-9223-5900f694f37e" xsi:nil="true"/>
    <Tim_x0020_Mc_x0020_Hugh xmlns="92f4ef6d-3abd-4018-9223-5900f694f37e">For Your Review</Tim_x0020_Mc_x0020_Hugh>
    <Carol_x0020_Pittavino0 xmlns="92f4ef6d-3abd-4018-9223-5900f694f37e">Approved</Carol_x0020_Pittavino0>
    <JenniferSpr xmlns="92f4ef6d-3abd-4018-9223-5900f694f37e">For Your Review</JenniferSpr>
    <Legal_x0020_Stage_x0020_1 xmlns="92f4ef6d-3abd-4018-9223-5900f694f37e">Approved</Legal_x0020_Stage_x0020_1>
    <Preparer xmlns="92f4ef6d-3abd-4018-9223-5900f694f37e">Jim O'Toole</Preparer>
    <_x0032_021_x0020_Due_x0020_Date xmlns="92f4ef6d-3abd-4018-9223-5900f694f37e">2023-10-20T04:00:00+00:00</_x0032_021_x0020_Due_x0020_Date>
    <Carol_x0020_Pittavino_x0020__x0028_Stage_x0020_2_x0029_ xmlns="92f4ef6d-3abd-4018-9223-5900f694f37e">For Your Review</Carol_x0020_Pittavino_x0020__x0028_Stage_x0020_2_x0029_>
    <Assigned_x0020_To0 xmlns="92f4ef6d-3abd-4018-9223-5900f694f37e">Jim O'Toole</Assigned_x0020_To0>
    <Jim_x0020_O_x0027_Toole xmlns="92f4ef6d-3abd-4018-9223-5900f694f37e">Approved</Jim_x0020_O_x0027_Toole>
    <Tori_x0020_Geisler xmlns="92f4ef6d-3abd-4018-9223-5900f694f37e">N/A</Tori_x0020_Geisler>
    <Tim_x0020_Hicks xmlns="92f4ef6d-3abd-4018-9223-5900f694f37e">For Your Review</Tim_x0020_Hicks>
    <LRAM_x0020_Due_x0020_Date xmlns="92f4ef6d-3abd-4018-9223-5900f694f37e" xsi:nil="true"/>
    <Teresa_x0020_Reed xmlns="92f4ef6d-3abd-4018-9223-5900f694f37e">N/A</Teresa_x0020_Reed>
    <RRC_x0020_Filing xmlns="92f4ef6d-3abd-4018-9223-5900f694f37e">2024 Rider RRC</RRC_x0020_Filing>
    <RAC_x0020_Filing xmlns="92f4ef6d-3abd-4018-9223-5900f694f37e">Choose Filing</RAC_x0020_Filing>
    <SBC_x0020_Filing xmlns="92f4ef6d-3abd-4018-9223-5900f694f37e">2024 Rider SBC</SBC_x0020_Filing>
    <Lennie_x0020_Howell xmlns="92f4ef6d-3abd-4018-9223-5900f694f37e">For Your Review</Lennie_x0020_Howell>
    <James_x0020_Meehan xmlns="92f4ef6d-3abd-4018-9223-5900f694f37e">For Your Review</James_x0020_Meehan>
    <Peer_x0020_Reviewer_x0020__x002d__x0020_Jen xmlns="92f4ef6d-3abd-4018-9223-5900f694f37e">In Review</Peer_x0020_Reviewer_x0020__x002d__x0020_Jen>
    <USF_x0020_Filing xmlns="92f4ef6d-3abd-4018-9223-5900f694f37e">2025 USF Audit</USF_x0020_Fil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0B0BD6E1BD95C42AD3949AC2A2BED5F" ma:contentTypeVersion="60" ma:contentTypeDescription="Create a new document." ma:contentTypeScope="" ma:versionID="985bfbfb422bd4983db76313184e029e">
  <xsd:schema xmlns:xsd="http://www.w3.org/2001/XMLSchema" xmlns:xs="http://www.w3.org/2001/XMLSchema" xmlns:p="http://schemas.microsoft.com/office/2006/metadata/properties" xmlns:ns2="92f4ef6d-3abd-4018-9223-5900f694f37e" xmlns:ns3="2ec4c0bf-c95c-4834-a6f2-fa418c1350fd" targetNamespace="http://schemas.microsoft.com/office/2006/metadata/properties" ma:root="true" ma:fieldsID="4c028ac738fd2fb5df5dbfba0844602f" ns2:_="" ns3:_="">
    <xsd:import namespace="92f4ef6d-3abd-4018-9223-5900f694f37e"/>
    <xsd:import namespace="2ec4c0bf-c95c-4834-a6f2-fa418c1350fd"/>
    <xsd:element name="properties">
      <xsd:complexType>
        <xsd:sequence>
          <xsd:element name="documentManagement">
            <xsd:complexType>
              <xsd:all>
                <xsd:element ref="ns2:Carol_x0020_Pittavino" minOccurs="0"/>
                <xsd:element ref="ns2:Status" minOccurs="0"/>
                <xsd:element ref="ns2:Tori_x0020_Geisler" minOccurs="0"/>
                <xsd:element ref="ns2:Mark_x0020_Mader" minOccurs="0"/>
                <xsd:element ref="ns2:Date_x0020_Received" minOccurs="0"/>
                <xsd:element ref="ns2:JenniferSpr" minOccurs="0"/>
                <xsd:element ref="ns2:Assigned_x0020_To0" minOccurs="0"/>
                <xsd:element ref="ns2:LRAM_x0020_Due_x0020_Date" minOccurs="0"/>
                <xsd:element ref="ns2:E_x002d_mail_x0020_Submission_x0020_Date" minOccurs="0"/>
                <xsd:element ref="ns2:_x0032_021_x0020_Due_x0020_Date" minOccurs="0"/>
                <xsd:element ref="ns2:Reason_x0020_For_x0020_HOLD" minOccurs="0"/>
                <xsd:element ref="ns2:Linker" minOccurs="0"/>
                <xsd:element ref="ns2:Jen_x0020_Spricigo" minOccurs="0"/>
                <xsd:element ref="ns2:Legal_x0020_Stage_x0020_1" minOccurs="0"/>
                <xsd:element ref="ns2:Preparer" minOccurs="0"/>
                <xsd:element ref="ns2:Series" minOccurs="0"/>
                <xsd:element ref="ns2:Tim_x0020_Mc_x0020_Hugh" minOccurs="0"/>
                <xsd:element ref="ns2:Carol_x0020_Pittavino0" minOccurs="0"/>
                <xsd:element ref="ns2:Jim_x0020_O_x0027_Toole" minOccurs="0"/>
                <xsd:element ref="ns2:Jim_x0020_Meade" minOccurs="0"/>
                <xsd:element ref="ns2:Tim_x0020_Hicks" minOccurs="0"/>
                <xsd:element ref="ns2:Carol_x0020_Pittavino_x0020__x0028_Stage_x0020_2_x0029_" minOccurs="0"/>
                <xsd:element ref="ns2:Teresa_x0020_Reed"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RRC_x0020_Filing" minOccurs="0"/>
                <xsd:element ref="ns2:SBC_x0020_Filing" minOccurs="0"/>
                <xsd:element ref="ns2:James_x0020_Meehan" minOccurs="0"/>
                <xsd:element ref="ns2:RAC_x0020_Filing" minOccurs="0"/>
                <xsd:element ref="ns2:Lennie_x0020_Howell" minOccurs="0"/>
                <xsd:element ref="ns2:Peer_x0020_Reviewer_x0020__x002d__x0020_Jen" minOccurs="0"/>
                <xsd:element ref="ns2:USF_x0020_Fil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f4ef6d-3abd-4018-9223-5900f694f37e" elementFormDefault="qualified">
    <xsd:import namespace="http://schemas.microsoft.com/office/2006/documentManagement/types"/>
    <xsd:import namespace="http://schemas.microsoft.com/office/infopath/2007/PartnerControls"/>
    <xsd:element name="Carol_x0020_Pittavino" ma:index="2" nillable="true" ma:displayName="Pittavino/O'Toole" ma:default="For Your Review" ma:description="Stage 1 Reviewer" ma:format="Dropdown" ma:internalName="Carol_x0020_Pittavino">
      <xsd:simpleType>
        <xsd:restriction base="dms:Choice">
          <xsd:enumeration value="For Your Review"/>
          <xsd:enumeration value="Comments/Edits"/>
          <xsd:enumeration value="Approved"/>
          <xsd:enumeration value="Approved with Minor Edits"/>
          <xsd:enumeration value="Approved If Edits Accepted"/>
          <xsd:enumeration value="Re-review"/>
          <xsd:enumeration value="N/A"/>
        </xsd:restriction>
      </xsd:simpleType>
    </xsd:element>
    <xsd:element name="Status" ma:index="3" nillable="true" ma:displayName="Status" ma:default="Template" ma:description="Response Review Status" ma:format="Dropdown" ma:internalName="Status">
      <xsd:simpleType>
        <xsd:restriction base="dms:Choice">
          <xsd:enumeration value="Template"/>
          <xsd:enumeration value="In Process"/>
          <xsd:enumeration value="In Process-Review"/>
          <xsd:enumeration value="Final/Clean Draft"/>
          <xsd:enumeration value="Stage 1 Review"/>
          <xsd:enumeration value="Stage 2 Review"/>
          <xsd:enumeration value="HOLD"/>
          <xsd:enumeration value="Ready to Submit"/>
          <xsd:enumeration value="Submitted"/>
          <xsd:enumeration value="Original"/>
          <xsd:enumeration value="Workpaper-Not Submitted"/>
          <xsd:enumeration value="Questions"/>
          <xsd:enumeration value="Link"/>
          <xsd:enumeration value="N/A"/>
          <xsd:enumeration value="As Filed"/>
          <xsd:enumeration value="Ready for Review"/>
          <xsd:enumeration value="Completed"/>
          <xsd:enumeration value="Final Draft for Review"/>
        </xsd:restriction>
      </xsd:simpleType>
    </xsd:element>
    <xsd:element name="Tori_x0020_Geisler" ma:index="4" nillable="true" ma:displayName="Tori Giesler" ma:default="For Your Review" ma:description="Stage 2 Reviewer" ma:format="Dropdown" ma:internalName="Tori_x0020_Geisler">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Mark_x0020_Mader" ma:index="5" nillable="true" ma:displayName="Mark Mader" ma:default="For Your Review" ma:description="Stage  2 Reviewer" ma:format="Dropdown" ma:internalName="Mark_x0020_Mader">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Date_x0020_Received" ma:index="6" nillable="true" ma:displayName="Date Received" ma:description="E-mail Date of Submission by Propounder" ma:format="DateOnly" ma:internalName="Date_x0020_Received">
      <xsd:simpleType>
        <xsd:restriction base="dms:DateTime"/>
      </xsd:simpleType>
    </xsd:element>
    <xsd:element name="JenniferSpr" ma:index="8" nillable="true" ma:displayName="Spricigo/O'Toole" ma:default="For Your Review" ma:description="Review Completed by either Jim O'Toole or Jennifer Spricigo" ma:format="Dropdown" ma:internalName="JenniferSpr">
      <xsd:simpleType>
        <xsd:restriction base="dms:Choice">
          <xsd:enumeration value="For Your Review"/>
          <xsd:enumeration value="Comments/Edits"/>
          <xsd:enumeration value="Approved"/>
          <xsd:enumeration value="Approved with Minor Edits"/>
          <xsd:enumeration value="Re-review"/>
          <xsd:enumeration value="Not Applicable"/>
        </xsd:restriction>
      </xsd:simpleType>
    </xsd:element>
    <xsd:element name="Assigned_x0020_To0" ma:index="9" nillable="true" ma:displayName="Witness" ma:default="Jim O'Toole" ma:format="Dropdown" ma:internalName="Assigned_x0020_To0">
      <xsd:simpleType>
        <xsd:union memberTypes="dms:Text">
          <xsd:simpleType>
            <xsd:restriction base="dms:Choice">
              <xsd:enumeration value="Please Choose"/>
              <xsd:enumeration value="Yongmei Peng"/>
              <xsd:enumeration value="Carol Pittavino"/>
              <xsd:enumeration value="Cristy Ludrosky"/>
              <xsd:enumeration value="Frank Lawson"/>
              <xsd:enumeration value="Dan Kerr"/>
              <xsd:enumeration value="Jim O'Toole"/>
            </xsd:restriction>
          </xsd:simpleType>
        </xsd:union>
      </xsd:simpleType>
    </xsd:element>
    <xsd:element name="LRAM_x0020_Due_x0020_Date" ma:index="10" nillable="true" ma:displayName="LRAM Due Date" ma:description="Date responses are due" ma:format="DateOnly" ma:internalName="LRAM_x0020_Due_x0020_Date">
      <xsd:simpleType>
        <xsd:restriction base="dms:DateTime"/>
      </xsd:simpleType>
    </xsd:element>
    <xsd:element name="E_x002d_mail_x0020_Submission_x0020_Date" ma:index="11" nillable="true" ma:displayName="E-mail Date" ma:description="Date Response Submitted Via E-mail" ma:format="DateOnly" ma:internalName="E_x002d_mail_x0020_Submission_x0020_Date">
      <xsd:simpleType>
        <xsd:restriction base="dms:DateTime"/>
      </xsd:simpleType>
    </xsd:element>
    <xsd:element name="_x0032_021_x0020_Due_x0020_Date" ma:index="12" nillable="true" ma:displayName="RAC Due Date" ma:default="2023-10-20T04:00:00Z" ma:description="Date 2021 RAC Responses are to be Submitted" ma:format="DateOnly" ma:internalName="_x0032_021_x0020_Due_x0020_Date">
      <xsd:simpleType>
        <xsd:restriction base="dms:DateTime"/>
      </xsd:simpleType>
    </xsd:element>
    <xsd:element name="Reason_x0020_For_x0020_HOLD" ma:index="13" nillable="true" ma:displayName="Reason For HOLD" ma:description="Use this line to give reason for Hold." ma:internalName="Reason_x0020_For_x0020_HOLD">
      <xsd:simpleType>
        <xsd:restriction base="dms:Note">
          <xsd:maxLength value="255"/>
        </xsd:restriction>
      </xsd:simpleType>
    </xsd:element>
    <xsd:element name="Linker" ma:index="16" nillable="true" ma:displayName="Linker" ma:description="This column can be used to make Links, primarily for sending specific responses and attachments to reviewers." ma:internalName="Linker">
      <xsd:simpleType>
        <xsd:restriction base="dms:Text">
          <xsd:maxLength value="255"/>
        </xsd:restriction>
      </xsd:simpleType>
    </xsd:element>
    <xsd:element name="Jen_x0020_Spricigo" ma:index="17" nillable="true" ma:displayName="Jen Spricigo" ma:default="For Your Review" ma:description="Review to be done by Jennifer Spricigo" ma:format="Dropdown" ma:internalName="Jen_x0020_Spricigo">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Legal_x0020_Stage_x0020_1" ma:index="18" nillable="true" ma:displayName="Mike Martelo" ma:default="For Your Review" ma:description="Stage 1 Reviewer" ma:format="Dropdown" ma:internalName="Legal_x0020_Stage_x0020_1">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Preparer" ma:index="20" nillable="true" ma:displayName="Preparer" ma:default="Please Assign" ma:description="Person Assign Responsibility for answering response by Due Date" ma:format="Dropdown" ma:internalName="Preparer">
      <xsd:simpleType>
        <xsd:union memberTypes="dms:Text">
          <xsd:simpleType>
            <xsd:restriction base="dms:Choice">
              <xsd:enumeration value="Please Assign"/>
              <xsd:enumeration value="Carlos Mendoza"/>
              <xsd:enumeration value="Jennifer Spricigo"/>
              <xsd:enumeration value="Dan Kerr"/>
              <xsd:enumeration value="Tim Hicks"/>
              <xsd:enumeration value="Carol Pittavino"/>
              <xsd:enumeration value="Mike Martello"/>
              <xsd:enumeration value="Yongmei Peng"/>
              <xsd:enumeration value="Ludrosky/Peng"/>
              <xsd:enumeration value="Tom Donadio"/>
              <xsd:enumeration value="Jim O'Toole"/>
              <xsd:enumeration value="O'Toole/Kerr"/>
              <xsd:enumeration value="O'Toole/Luff"/>
              <xsd:enumeration value="Chris Moravec"/>
              <xsd:enumeration value="Justin Shaub"/>
              <xsd:enumeration value="Lara Dennison"/>
              <xsd:enumeration value="Lennie  Howell"/>
              <xsd:enumeration value="Matt Sacher, Auditing"/>
              <xsd:enumeration value="L. Howell/S. Dye"/>
              <xsd:enumeration value="L. Howell/G. Siegal"/>
              <xsd:enumeration value="Glen Siegal"/>
              <xsd:enumeration value="Trenton Feasel"/>
              <xsd:enumeration value="Randy Beegle"/>
              <xsd:enumeration value="Jenn Schalmo"/>
              <xsd:enumeration value="Tammy Lash"/>
              <xsd:enumeration value="Mourton/Lemke"/>
              <xsd:enumeration value="Customer Experience"/>
              <xsd:enumeration value="Customer Experience/S. Cochran"/>
              <xsd:enumeration value="Cust. Experience/C. Allan"/>
              <xsd:enumeration value="Cust. Experience/P. Davis"/>
              <xsd:enumeration value="Cust. Experience/T. Lash"/>
              <xsd:enumeration value="N/A"/>
            </xsd:restriction>
          </xsd:simpleType>
        </xsd:union>
      </xsd:simpleType>
    </xsd:element>
    <xsd:element name="Series" ma:index="21" nillable="true" ma:displayName="Series" ma:default="Please Choose" ma:description="Discovery Question Series Name" ma:format="Dropdown" ma:internalName="Series">
      <xsd:simpleType>
        <xsd:restriction base="dms:Choice">
          <xsd:enumeration value="Please Choose"/>
          <xsd:enumeration value="JCP&amp;L-DR"/>
          <xsd:enumeration value="S-JCPL-SBC"/>
          <xsd:enumeration value="S-JCPL-ENG"/>
          <xsd:enumeration value="S-JCPL-REV"/>
          <xsd:enumeration value="RCR"/>
          <xsd:enumeration value="RCR-A"/>
          <xsd:enumeration value="RCR-ENV"/>
          <xsd:enumeration value="S-JCPL-NGC"/>
          <xsd:enumeration value="S-JCPL-RRC"/>
          <xsd:enumeration value="S-JCPL-LRAM"/>
          <xsd:enumeration value="S-JCPL-ZECRC"/>
        </xsd:restriction>
      </xsd:simpleType>
    </xsd:element>
    <xsd:element name="Tim_x0020_Mc_x0020_Hugh" ma:index="22" nillable="true" ma:displayName="Tim McHugh" ma:default="For Your Review" ma:description="Stage 1 Reviewer" ma:format="Dropdown" ma:internalName="Tim_x0020_Mc_x0020_Hugh">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Carol_x0020_Pittavino0" ma:index="25" nillable="true" ma:displayName="Carol Pittavino" ma:default="For Your Review" ma:description="Stage 1 Reviewer" ma:format="Dropdown" ma:internalName="Carol_x0020_Pittavino0">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Jim_x0020_O_x0027_Toole" ma:index="26" nillable="true" ma:displayName="Jim O'Toole" ma:default="For Your Review" ma:description="Stage 1 Reviewer" ma:format="Dropdown" ma:internalName="Jim_x0020_O_x0027_Toole">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Jim_x0020_Meade" ma:index="27" nillable="true" ma:displayName="Jim Meade" ma:default="For Your Review" ma:description="Stage 1 Reviewer" ma:format="Dropdown" ma:internalName="Jim_x0020_Meade">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Tim_x0020_Hicks" ma:index="28" nillable="true" ma:displayName="Tim Hicks" ma:default="For Your Review" ma:description="Stage 1 Reviewer" ma:format="Dropdown" ma:internalName="Tim_x0020_Hicks">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Carol_x0020_Pittavino_x0020__x0028_Stage_x0020_2_x0029_" ma:index="29" nillable="true" ma:displayName="Carol Pittavino (S2)" ma:default="N/A" ma:description="Stage 2 Reviewer" ma:format="Dropdown" ma:internalName="Carol_x0020_Pittavino_x0020__x0028_Stage_x0020_2_x0029_">
      <xsd:simpleType>
        <xsd:restriction base="dms:Choice">
          <xsd:enumeration value="For Your Review"/>
          <xsd:enumeration value="Comments/Edits"/>
          <xsd:enumeration value="Approved"/>
          <xsd:enumeration value="Approved with Minor Edits"/>
          <xsd:enumeration value="Approved If Edits Accepted"/>
          <xsd:enumeration value="Re-review"/>
          <xsd:enumeration value="N/A"/>
        </xsd:restriction>
      </xsd:simpleType>
    </xsd:element>
    <xsd:element name="Teresa_x0020_Reed" ma:index="33" nillable="true" ma:displayName="Teresa Reed" ma:default="N/A" ma:description="Stage 2 Reviewer" ma:format="Dropdown" ma:internalName="Teresa_x0020_Reed">
      <xsd:simpleType>
        <xsd:restriction base="dms:Choice">
          <xsd:enumeration value="N/A"/>
          <xsd:enumeration value="For Your Review"/>
          <xsd:enumeration value="Comments/Edits"/>
          <xsd:enumeration value="Approved"/>
          <xsd:enumeration value="Approved with Minor Edits"/>
          <xsd:enumeration value="Re-review"/>
        </xsd:restriction>
      </xsd:simpleType>
    </xsd:element>
    <xsd:element name="MediaServiceMetadata" ma:index="37" nillable="true" ma:displayName="MediaServiceMetadata" ma:hidden="true" ma:internalName="MediaServiceMetadata" ma:readOnly="true">
      <xsd:simpleType>
        <xsd:restriction base="dms:Note"/>
      </xsd:simpleType>
    </xsd:element>
    <xsd:element name="MediaServiceFastMetadata" ma:index="38" nillable="true" ma:displayName="MediaServiceFastMetadata" ma:hidden="true" ma:internalName="MediaServiceFastMetadata" ma:readOnly="true">
      <xsd:simpleType>
        <xsd:restriction base="dms:Note"/>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RRC_x0020_Filing" ma:index="47" nillable="true" ma:displayName="RRC Filing" ma:description="Name of RRC Filing" ma:format="Dropdown" ma:internalName="RRC_x0020_Filing">
      <xsd:simpleType>
        <xsd:restriction base="dms:Choice">
          <xsd:enumeration value="Choose Filing"/>
          <xsd:enumeration value="2023 Rider RRC"/>
          <xsd:enumeration value="2024 Rider RRC"/>
        </xsd:restriction>
      </xsd:simpleType>
    </xsd:element>
    <xsd:element name="SBC_x0020_Filing" ma:index="50" nillable="true" ma:displayName="SBC Filing" ma:default="2024 Rider SBC" ma:description="Name of SBC Filing" ma:format="Dropdown" ma:internalName="SBC_x0020_Filing">
      <xsd:simpleType>
        <xsd:restriction base="dms:Choice">
          <xsd:enumeration value="Choose Filing"/>
          <xsd:enumeration value="2022-23 Rider SBC"/>
          <xsd:enumeration value="2024 Rider SBC"/>
        </xsd:restriction>
      </xsd:simpleType>
    </xsd:element>
    <xsd:element name="James_x0020_Meehan" ma:index="54" nillable="true" ma:displayName="James Meehan" ma:default="For Your Review" ma:description="Stage 1 Reviewer" ma:format="Dropdown" ma:internalName="James_x0020_Meehan">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RAC_x0020_Filing" ma:index="57" nillable="true" ma:displayName="RAC Filing" ma:default="Choose Filing" ma:description="Name of RAC Filing" ma:format="Dropdown" ma:internalName="RAC_x0020_Filing">
      <xsd:simpleType>
        <xsd:restriction base="dms:Choice">
          <xsd:enumeration value="Choose Filing"/>
          <xsd:enumeration value="2021 Rider RAC"/>
          <xsd:enumeration value="2022 Rider RAC"/>
          <xsd:enumeration value="2023 Rider RAC"/>
          <xsd:enumeration value="2024 Rider RAC"/>
          <xsd:enumeration value="2025 Rider RAC"/>
        </xsd:restriction>
      </xsd:simpleType>
    </xsd:element>
    <xsd:element name="Lennie_x0020_Howell" ma:index="61" nillable="true" ma:displayName="Lennie Howell" ma:default="For Your Review" ma:description="Stage 1 Reviewer" ma:format="Dropdown" ma:internalName="Lennie_x0020_Howell">
      <xsd:simpleType>
        <xsd:restriction base="dms:Choice">
          <xsd:enumeration value="For Your Review"/>
          <xsd:enumeration value="Comments/Edits"/>
          <xsd:enumeration value="Approved"/>
          <xsd:enumeration value="Approved with Minor Edits"/>
          <xsd:enumeration value="Re-review"/>
          <xsd:enumeration value="N/A"/>
        </xsd:restriction>
      </xsd:simpleType>
    </xsd:element>
    <xsd:element name="Peer_x0020_Reviewer_x0020__x002d__x0020_Jen" ma:index="64" nillable="true" ma:displayName="Peer Reviewer - Jen" ma:default="In Review" ma:description="Peer Reviewer - Jen Spricigo" ma:format="Dropdown" ma:internalName="Peer_x0020_Reviewer_x0020__x002d__x0020_Jen">
      <xsd:simpleType>
        <xsd:restriction base="dms:Choice">
          <xsd:enumeration value="In Review"/>
          <xsd:enumeration value="Approved"/>
          <xsd:enumeration value="Edits"/>
        </xsd:restriction>
      </xsd:simpleType>
    </xsd:element>
    <xsd:element name="USF_x0020_Filing" ma:index="65" nillable="true" ma:displayName="USF Filing" ma:default="2025 USF Audit" ma:description="Name of USF Filing" ma:format="Dropdown" ma:internalName="USF_x0020_Filing">
      <xsd:simpleType>
        <xsd:restriction base="dms:Choice">
          <xsd:enumeration value="2025 USF Audit"/>
          <xsd:enumeration value="2025-26 USF Filing"/>
          <xsd:enumeration value="2026-27 USF Filing"/>
        </xsd:restriction>
      </xsd:simpleType>
    </xsd:element>
  </xsd:schema>
  <xsd:schema xmlns:xsd="http://www.w3.org/2001/XMLSchema" xmlns:xs="http://www.w3.org/2001/XMLSchema" xmlns:dms="http://schemas.microsoft.com/office/2006/documentManagement/types" xmlns:pc="http://schemas.microsoft.com/office/infopath/2007/PartnerControls" targetNamespace="2ec4c0bf-c95c-4834-a6f2-fa418c1350fd" elementFormDefault="qualified">
    <xsd:import namespace="http://schemas.microsoft.com/office/2006/documentManagement/types"/>
    <xsd:import namespace="http://schemas.microsoft.com/office/infopath/2007/PartnerControls"/>
    <xsd:element name="SharedWithUsers" ma:index="4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6404AE-0AD9-4099-B67A-253A697BEA0C}">
  <ds:schemaRefs>
    <ds:schemaRef ds:uri="http://schemas.microsoft.com/office/2006/metadata/properties"/>
    <ds:schemaRef ds:uri="http://schemas.microsoft.com/office/infopath/2007/PartnerControls"/>
    <ds:schemaRef ds:uri="92f4ef6d-3abd-4018-9223-5900f694f37e"/>
  </ds:schemaRefs>
</ds:datastoreItem>
</file>

<file path=customXml/itemProps2.xml><?xml version="1.0" encoding="utf-8"?>
<ds:datastoreItem xmlns:ds="http://schemas.openxmlformats.org/officeDocument/2006/customXml" ds:itemID="{1223A5FA-C1FA-4178-8F9D-A5173EAB0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f4ef6d-3abd-4018-9223-5900f694f37e"/>
    <ds:schemaRef ds:uri="2ec4c0bf-c95c-4834-a6f2-fa418c1350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7100A0-26A5-4EF1-8AC8-6174E29D91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11</vt:i4>
      </vt:variant>
    </vt:vector>
  </HeadingPairs>
  <TitlesOfParts>
    <vt:vector size="30" baseType="lpstr">
      <vt:lpstr>Schedule of Attachments</vt:lpstr>
      <vt:lpstr>Pre-Filing Mtg</vt:lpstr>
      <vt:lpstr>RRC Component Rates (RRC-1 p1)</vt:lpstr>
      <vt:lpstr>RRC Incremental Incr (RRC-1_p2)</vt:lpstr>
      <vt:lpstr>Revs by Rate Class (EE&amp;C-1_p1)</vt:lpstr>
      <vt:lpstr>Monthly Revenue Req.(EE&amp;C-1_p2)</vt:lpstr>
      <vt:lpstr>Reconciliation (EE&amp;C-1_p3)</vt:lpstr>
      <vt:lpstr>Projected Rev.Req (EE&amp;C-1_p4)</vt:lpstr>
      <vt:lpstr>Rate Calculation (EE&amp;C-1_p5)</vt:lpstr>
      <vt:lpstr>Journal Entries (EE&amp;C-1_ p6)</vt:lpstr>
      <vt:lpstr>Rate Impacts (EE&amp;C-1_p7)</vt:lpstr>
      <vt:lpstr>kWh Forecast</vt:lpstr>
      <vt:lpstr>CAP-1 WACC</vt:lpstr>
      <vt:lpstr>10-Yr Amort</vt:lpstr>
      <vt:lpstr>1-Yr Amort</vt:lpstr>
      <vt:lpstr>Projected Rev.Req (EE&amp;C-4)-2022</vt:lpstr>
      <vt:lpstr>kwh fcst</vt:lpstr>
      <vt:lpstr>EEC TRI1 Expansion_Backup</vt:lpstr>
      <vt:lpstr>EEC TRI2 _Backup</vt:lpstr>
      <vt:lpstr>Calendar_Days_Look_Up_Table</vt:lpstr>
      <vt:lpstr>Calendar_Days_Table_1_Yr</vt:lpstr>
      <vt:lpstr>'Journal Entries (EE&amp;C-1_ p6)'!Print_Area</vt:lpstr>
      <vt:lpstr>'Monthly Revenue Req.(EE&amp;C-1_p2)'!Print_Area</vt:lpstr>
      <vt:lpstr>'Projected Rev.Req (EE&amp;C-1_p4)'!Print_Area</vt:lpstr>
      <vt:lpstr>'Rate Calculation (EE&amp;C-1_p5)'!Print_Area</vt:lpstr>
      <vt:lpstr>'Rate Impacts (EE&amp;C-1_p7)'!Print_Area</vt:lpstr>
      <vt:lpstr>'Reconciliation (EE&amp;C-1_p3)'!Print_Area</vt:lpstr>
      <vt:lpstr>'Revs by Rate Class (EE&amp;C-1_p1)'!Print_Area</vt:lpstr>
      <vt:lpstr>'RRC Component Rates (RRC-1 p1)'!Print_Area</vt:lpstr>
      <vt:lpstr>'RRC Incremental Incr (RRC-1_p2)'!Print_Area</vt:lpstr>
    </vt:vector>
  </TitlesOfParts>
  <Manager/>
  <Company>FirstEnergy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Siedt, Kevin M</dc:creator>
  <cp:keywords/>
  <dc:description/>
  <cp:lastModifiedBy>Martelo, Michael</cp:lastModifiedBy>
  <cp:revision/>
  <cp:lastPrinted>2026-02-23T18:07:00Z</cp:lastPrinted>
  <dcterms:created xsi:type="dcterms:W3CDTF">2021-12-10T17:16:59Z</dcterms:created>
  <dcterms:modified xsi:type="dcterms:W3CDTF">2026-03-03T13:49:26Z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0x010100C0B0BD6E1BD95C42AD3949AC2A2BED5F</vt:lpwstr>
  </property>
  <property fmtid="{D5CDD505-2E9C-101B-9397-08002B2CF9AE}" pid="3" name="MediaServiceImageTags">
    <vt:lpwstr/>
  </property>
</Properties>
</file>